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showInkAnnotation="0"/>
  <mc:AlternateContent xmlns:mc="http://schemas.openxmlformats.org/markup-compatibility/2006">
    <mc:Choice Requires="x15">
      <x15ac:absPath xmlns:x15ac="http://schemas.microsoft.com/office/spreadsheetml/2010/11/ac" url="C:\2023\CDA\Prep\"/>
    </mc:Choice>
  </mc:AlternateContent>
  <xr:revisionPtr revIDLastSave="0" documentId="13_ncr:1_{B7F11A43-E527-4C09-B951-F2DB8FDC08C1}" xr6:coauthVersionLast="47" xr6:coauthVersionMax="47" xr10:uidLastSave="{00000000-0000-0000-0000-000000000000}"/>
  <workbookProtection workbookAlgorithmName="SHA-512" workbookHashValue="mQF2MndU/RzyibJiG0wNCuacXTSNbli+jpozdeHo73YtnYnfZvjFkfjylaVpDKCvdmu35RyhmmvXcrlHxo5kMw==" workbookSaltValue="Iq08r61wXT81RxLc0lrALg==" workbookSpinCount="100000" lockStructure="1"/>
  <bookViews>
    <workbookView xWindow="-120" yWindow="-120" windowWidth="29040" windowHeight="15720" tabRatio="587" xr2:uid="{00000000-000D-0000-FFFF-FFFF00000000}"/>
  </bookViews>
  <sheets>
    <sheet name="Overview" sheetId="1" r:id="rId1"/>
    <sheet name="Confidentiality" sheetId="12" state="hidden" r:id="rId2"/>
    <sheet name="Operations" sheetId="2" r:id="rId3"/>
    <sheet name="Balance Sheet" sheetId="6" r:id="rId4"/>
    <sheet name="Income Statement" sheetId="7" r:id="rId5"/>
    <sheet name="Print" sheetId="13" state="hidden" r:id="rId6"/>
    <sheet name="Data" sheetId="18" state="hidden" r:id="rId7"/>
  </sheets>
  <externalReferences>
    <externalReference r:id="rId8"/>
    <externalReference r:id="rId9"/>
  </externalReferences>
  <definedNames>
    <definedName name="_NET2">Data!$B$211</definedName>
    <definedName name="AAP">'Balance Sheet'!$T$11</definedName>
    <definedName name="AAR">'Balance Sheet'!$T$9</definedName>
    <definedName name="AD">'Income Statement'!$T$53</definedName>
    <definedName name="Add">'Balance Sheet'!$T$5</definedName>
    <definedName name="Addr1">Overview!$P$27</definedName>
    <definedName name="Addr2">Overview!$P$28</definedName>
    <definedName name="Admin_Exp">'Income Statement'!$T$95</definedName>
    <definedName name="AgeUsed">'Balance Sheet'!$P$6</definedName>
    <definedName name="AP">'Balance Sheet'!$T$26</definedName>
    <definedName name="APDAYS">Data!$B$225</definedName>
    <definedName name="AR">'Balance Sheet'!$T$17</definedName>
    <definedName name="ARDAYS">Data!$B$231</definedName>
    <definedName name="ATA">'Balance Sheet'!$T$12</definedName>
    <definedName name="AVG">'Balance Sheet'!$T$10</definedName>
    <definedName name="AVG_2">Data!$B$202</definedName>
    <definedName name="BD">'Income Statement'!$T$93</definedName>
    <definedName name="BENE">'Income Statement'!$T$20</definedName>
    <definedName name="BENE_Admin">'Income Statement'!$T$88</definedName>
    <definedName name="BENE_Dist">'Income Statement'!$T$66</definedName>
    <definedName name="BENE_Pct">Data!$B$184</definedName>
    <definedName name="BENE_Sls">'Income Statement'!$T$49</definedName>
    <definedName name="Bonus_Emp">'Income Statement'!#REF!</definedName>
    <definedName name="Bonus_Owner">'Income Statement'!#REF!</definedName>
    <definedName name="Burden_Pct">Data!$B$185</definedName>
    <definedName name="BuyGrp">Operations!$R$75</definedName>
    <definedName name="CA">'Balance Sheet'!$T$20</definedName>
    <definedName name="CA_2">Data!$B$204</definedName>
    <definedName name="Cash">'Balance Sheet'!$T$16</definedName>
    <definedName name="City">Overview!$P$29</definedName>
    <definedName name="CL">'Balance Sheet'!$T$29</definedName>
    <definedName name="COGS">'Income Statement'!$T$6</definedName>
    <definedName name="COGS_2">Data!$B$207</definedName>
    <definedName name="COGS_Counter">'Income Statement'!#REF!</definedName>
    <definedName name="COGS_DROP">'Income Statement'!#REF!</definedName>
    <definedName name="COGS_ES">'Income Statement'!#REF!</definedName>
    <definedName name="COGS_Install">'[1]Income Statement'!$R$51</definedName>
    <definedName name="COGS_New">'Income Statement'!#REF!</definedName>
    <definedName name="COGS_OTH">'Income Statement'!#REF!</definedName>
    <definedName name="COGS_Rent">'Income Statement'!#REF!</definedName>
    <definedName name="COGS_SH">'Income Statement'!#REF!</definedName>
    <definedName name="COGS_SPEC">'Income Statement'!#REF!</definedName>
    <definedName name="COGS_SVC">'Income Statement'!#REF!</definedName>
    <definedName name="COGS_Used">'Income Statement'!#REF!</definedName>
    <definedName name="COGS_WHS">'Income Statement'!#REF!</definedName>
    <definedName name="Collect">'Income Statement'!#REF!</definedName>
    <definedName name="Controls">Data!$B$35</definedName>
    <definedName name="CSH">Operations!$R$44</definedName>
    <definedName name="CUST">Operations!$R$42</definedName>
    <definedName name="Custdp">'Balance Sheet'!$U$33</definedName>
    <definedName name="DIST_EXP">'Income Statement'!$T$75</definedName>
    <definedName name="DPR">'Income Statement'!$T$25</definedName>
    <definedName name="DROP">Data!$B$52</definedName>
    <definedName name="DROP_GM">Data!#REF!</definedName>
    <definedName name="eaddr">Overview!$P$33</definedName>
    <definedName name="ElecInv">Operations!$R$38</definedName>
    <definedName name="Emp">Operations!$R$23</definedName>
    <definedName name="EMP_Acctg">Operations!$R$18</definedName>
    <definedName name="EMP_Cust">Operations!$P$16</definedName>
    <definedName name="EMP_Driver">Operations!$R$14</definedName>
    <definedName name="EMP_Exec">Operations!$R$22</definedName>
    <definedName name="EMP_HR">Operations!$R$19</definedName>
    <definedName name="EMP_Inside">Operations!$R$11</definedName>
    <definedName name="EMP_IT">Operations!$R$20</definedName>
    <definedName name="EMP_Mdse">Operations!$R$13</definedName>
    <definedName name="EMP_Mktg">Operations!$R$17</definedName>
    <definedName name="EMP_Out">Operations!$R$10</definedName>
    <definedName name="EMP_Pur">Operations!$R$16</definedName>
    <definedName name="EMP_SlsMgr">Operations!$R$12</definedName>
    <definedName name="EMP_SVC">Operations!$T$14</definedName>
    <definedName name="EMP_WHS">Operations!$R$15</definedName>
    <definedName name="End">'Balance Sheet'!$T$6</definedName>
    <definedName name="End_Prev">'Balance Sheet'!$T$7</definedName>
    <definedName name="EngSys">Data!#REF!</definedName>
    <definedName name="Eqty">'Balance Sheet'!$T$32</definedName>
    <definedName name="Equip">'Income Statement'!#REF!</definedName>
    <definedName name="ExciseTax">Operations!$R$51</definedName>
    <definedName name="FairTrade">Operations!$R$47</definedName>
    <definedName name="Fax">Data!$B$13</definedName>
    <definedName name="Fiscal">Operations!$R$2</definedName>
    <definedName name="Fixed">'Balance Sheet'!$AB$31</definedName>
    <definedName name="FO">'Income Statement'!$T$72</definedName>
    <definedName name="GP">'Income Statement'!$T$9</definedName>
    <definedName name="GP_2">Data!$B$208</definedName>
    <definedName name="GP_Counter">Data!#REF!</definedName>
    <definedName name="GP_ES">Data!#REF!</definedName>
    <definedName name="GP_New">Data!$B$180</definedName>
    <definedName name="GP_OTH">Data!#REF!</definedName>
    <definedName name="GP_Rent">Data!#REF!</definedName>
    <definedName name="GP_SH">Data!#REF!</definedName>
    <definedName name="GP_SVC">Data!#REF!</definedName>
    <definedName name="GP_Used">Data!$B$183</definedName>
    <definedName name="GRP_INS">'Income Statement'!$T$19</definedName>
    <definedName name="GRP_INS_Admin">'Income Statement'!$T$87</definedName>
    <definedName name="GRP_INS_Dist">'Income Statement'!$T$65</definedName>
    <definedName name="GRP_INS_Sls">'Income Statement'!$T$48</definedName>
    <definedName name="Grp_Pct">Data!#REF!</definedName>
    <definedName name="Heating">Data!$B$43</definedName>
    <definedName name="HVAC_lt">Data!$B$41</definedName>
    <definedName name="HVAC_Uni">Data!$B$42</definedName>
    <definedName name="ID">Overview!$T$23</definedName>
    <definedName name="Ins">'Income Statement'!$T$92</definedName>
    <definedName name="Int">'Income Statement'!$T$30</definedName>
    <definedName name="IntParts">Operations!$R$135</definedName>
    <definedName name="IntSvc">Operations!$R$136</definedName>
    <definedName name="Inv">'Balance Sheet'!$T$18</definedName>
    <definedName name="INV_2">Data!$B$203</definedName>
    <definedName name="INVDAYS">Data!$B$233</definedName>
    <definedName name="Liab">'Balance Sheet'!$T$33</definedName>
    <definedName name="LIFO">'Balance Sheet'!$T$3</definedName>
    <definedName name="Lines">Operations!$R$34</definedName>
    <definedName name="Loan">'Balance Sheet'!$T$31</definedName>
    <definedName name="LOC">Operations!$R$25</definedName>
    <definedName name="Loc_Retail">Operations!$R$71</definedName>
    <definedName name="LTL">'Balance Sheet'!$T$30</definedName>
    <definedName name="LTrucks">Data!#REF!</definedName>
    <definedName name="Market">Operations!$R$3</definedName>
    <definedName name="MIS">'Income Statement'!$T$91</definedName>
    <definedName name="Name">Overview!$P$26</definedName>
    <definedName name="Net">'Income Statement'!$T$34</definedName>
    <definedName name="NEWINV">'Balance Sheet'!$AB$26</definedName>
    <definedName name="NonFair">Operations!$R$48</definedName>
    <definedName name="NP">'Balance Sheet'!$T$27</definedName>
    <definedName name="NS">'Income Statement'!$T$5</definedName>
    <definedName name="NS_Auto">Operations!$R$66</definedName>
    <definedName name="NS_Beverage">Operations!$R$64</definedName>
    <definedName name="NS_Candy">Operations!$R$57</definedName>
    <definedName name="NS_Cigarettes">Operations!$R$55</definedName>
    <definedName name="NS_Dairy">Operations!$R$60</definedName>
    <definedName name="NS_DROP">'Income Statement'!#REF!</definedName>
    <definedName name="NS_Food">Operations!$R$58</definedName>
    <definedName name="NS_Frozen">Operations!$R$59</definedName>
    <definedName name="NS_GenlMdse">Operations!$R$63</definedName>
    <definedName name="NS_Grocery">Operations!$R$61</definedName>
    <definedName name="NS_HBC">Operations!$R$62</definedName>
    <definedName name="NS_Online">Operations!$R$36</definedName>
    <definedName name="NS_OPROD">Operations!$R$67</definedName>
    <definedName name="NS_OTH">'Income Statement'!#REF!</definedName>
    <definedName name="NS_Paper">Operations!$R$65</definedName>
    <definedName name="NS_Retail">Operations!$R$72</definedName>
    <definedName name="NS_SPEC">'Income Statement'!#REF!</definedName>
    <definedName name="NS_Tobacco">Operations!$R$56</definedName>
    <definedName name="NS_Tot">Operations!$R$68</definedName>
    <definedName name="NS_WHS">'Income Statement'!#REF!</definedName>
    <definedName name="NW">Data!$B$93</definedName>
    <definedName name="NW_2">Data!$B$206</definedName>
    <definedName name="OC">'Income Statement'!$T$23</definedName>
    <definedName name="OC_GA">'Income Statement'!$R$99</definedName>
    <definedName name="OC_Parts">'Income Statement'!$R$96</definedName>
    <definedName name="OC_Rental">'Income Statement'!$R$98</definedName>
    <definedName name="OC_Sales">'Income Statement'!#REF!</definedName>
    <definedName name="OC_SVC">'Income Statement'!$R$97</definedName>
    <definedName name="Oca">'Balance Sheet'!$T$19</definedName>
    <definedName name="Ocl">'Balance Sheet'!$T$28</definedName>
    <definedName name="OCOGS">'Income Statement'!#REF!</definedName>
    <definedName name="ODIST">'Income Statement'!$T$74</definedName>
    <definedName name="OE">'Income Statement'!$T$26</definedName>
    <definedName name="OE_GA">'Income Statement'!$T$99</definedName>
    <definedName name="OE_Parts">'Income Statement'!$T$96</definedName>
    <definedName name="OE_Rental">'Income Statement'!$T$98</definedName>
    <definedName name="OE_Sales">'Income Statement'!#REF!</definedName>
    <definedName name="OE_SVC">'Income Statement'!$T$97</definedName>
    <definedName name="Oemp">Operations!$R$21</definedName>
    <definedName name="Oex">'Income Statement'!$T$31</definedName>
    <definedName name="OFA">'Balance Sheet'!$T$21</definedName>
    <definedName name="OI">'Income Statement'!$T$29</definedName>
    <definedName name="OINV">'Balance Sheet'!$AB$29</definedName>
    <definedName name="ONS">Data!$B$67</definedName>
    <definedName name="OP">'Income Statement'!$T$28</definedName>
    <definedName name="OP_2">Data!$B$209</definedName>
    <definedName name="OPROD">Data!$B$47</definedName>
    <definedName name="Orders">Operations!$R$32</definedName>
    <definedName name="Org">Operations!$R$2</definedName>
    <definedName name="OSAL">'Income Statement'!#REF!</definedName>
    <definedName name="OSELL">'Income Statement'!$T$55</definedName>
    <definedName name="OTH_GM">Data!#REF!</definedName>
    <definedName name="PA">'Income Statement'!$T$21</definedName>
    <definedName name="PA_Admin">'Income Statement'!$T$89</definedName>
    <definedName name="PA_AP">'Income Statement'!$T$79</definedName>
    <definedName name="PA_AR">'Income Statement'!$T$78</definedName>
    <definedName name="PA_CustSvc">'Income Statement'!$T$81</definedName>
    <definedName name="PA_Dist">'Income Statement'!$T$67</definedName>
    <definedName name="PA_Driver">'Income Statement'!$T$15</definedName>
    <definedName name="PA_Exec">'Income Statement'!$T$12</definedName>
    <definedName name="PA_Inside">'Income Statement'!$T$43</definedName>
    <definedName name="PA_IT">'Income Statement'!$T$80</definedName>
    <definedName name="PA_Mdse">'Income Statement'!$T$44</definedName>
    <definedName name="PA_OTH">'Income Statement'!$T$16</definedName>
    <definedName name="PA_Out">'Income Statement'!$T$13</definedName>
    <definedName name="PA_Pick">'Income Statement'!$T$61</definedName>
    <definedName name="PA_Pur">'Income Statement'!$T$45</definedName>
    <definedName name="PA_Recv">'Income Statement'!$T$60</definedName>
    <definedName name="PA_Rental">'Income Statement'!$U$83</definedName>
    <definedName name="PA_Sales">'Income Statement'!#REF!</definedName>
    <definedName name="PA_Sls">'Income Statement'!$T$50</definedName>
    <definedName name="PA_SlsMgr">'Income Statement'!$U$11</definedName>
    <definedName name="PA_SVC">'Income Statement'!#REF!</definedName>
    <definedName name="PA_Tele">'Income Statement'!$T$82</definedName>
    <definedName name="PA_WHS">'Income Statement'!$T$14</definedName>
    <definedName name="PARTSINV">'Balance Sheet'!$AB$28</definedName>
    <definedName name="PB_Bonus">'Income Statement'!$T$32</definedName>
    <definedName name="PB_Bonus_2">Data!$B$212</definedName>
    <definedName name="PBT">'Income Statement'!$T$32</definedName>
    <definedName name="PBT_2">Data!$B$210</definedName>
    <definedName name="PDF">Overview!$P$34</definedName>
    <definedName name="Person">Overview!$P$24</definedName>
    <definedName name="Phone">Overview!$P$32</definedName>
    <definedName name="Plumbing">Data!$B$40</definedName>
    <definedName name="PPTaxes">'Income Statement'!#REF!</definedName>
    <definedName name="Prev">'Income Statement'!$T$2</definedName>
    <definedName name="_xlnm.Print_Area" localSheetId="3">'Balance Sheet'!$A$1:$T$41</definedName>
    <definedName name="_xlnm.Print_Area" localSheetId="1">Confidentiality!$A$1:$K$39</definedName>
    <definedName name="_xlnm.Print_Area" localSheetId="6">Data!$A$1:$B$84</definedName>
    <definedName name="_xlnm.Print_Area" localSheetId="4">'Income Statement'!$A$1:$T$77</definedName>
    <definedName name="_xlnm.Print_Area" localSheetId="2">Operations!$A$1:$Y$72</definedName>
    <definedName name="_xlnm.Print_Area" localSheetId="0">Overview!$A$1:$W$34</definedName>
    <definedName name="_xlnm.Print_Area" localSheetId="5">Print!$A$6:$V$165</definedName>
    <definedName name="ProfFees">'Income Statement'!$T$90</definedName>
    <definedName name="PT">'Income Statement'!$T$18</definedName>
    <definedName name="PT_Admin">'Income Statement'!$T$86</definedName>
    <definedName name="PT_Dist">'Income Statement'!$T$64</definedName>
    <definedName name="PT_Pct">Data!#REF!</definedName>
    <definedName name="PT_Sls">'Income Statement'!$T$47</definedName>
    <definedName name="Ref_Acc">Data!$B$36</definedName>
    <definedName name="Ref_Eq">Data!$B$37</definedName>
    <definedName name="Rent">'Income Statement'!$T$71</definedName>
    <definedName name="RentalCost">'Income Statement'!#REF!</definedName>
    <definedName name="Retail">Operations!$R$70</definedName>
    <definedName name="RM">'Income Statement'!$T$70</definedName>
    <definedName name="SAL">'Income Statement'!$T$17</definedName>
    <definedName name="SAL_Admin">'Income Statement'!$T$85</definedName>
    <definedName name="Sal_Dist">'Income Statement'!$T$63</definedName>
    <definedName name="Sal_Sls">'Income Statement'!$T$46</definedName>
    <definedName name="SAL_TOT">'Income Statement'!$R$92</definedName>
    <definedName name="SheetMetal">Data!$B$38</definedName>
    <definedName name="Shipments">Operations!$R$30</definedName>
    <definedName name="SKU">Operations!$P$68</definedName>
    <definedName name="SKU_Auto">Operations!$P$66</definedName>
    <definedName name="SKU_Beverage">Operations!$P$64</definedName>
    <definedName name="SKU_Candy">Operations!$P$57</definedName>
    <definedName name="SKU_Cigarettes">Operations!$P$55</definedName>
    <definedName name="SKU_Dairy">Operations!$P$60</definedName>
    <definedName name="SKU_Food">Operations!$P$58</definedName>
    <definedName name="SKU_Frozen">Operations!$P$59</definedName>
    <definedName name="SKU_GenlMdse">Operations!$P$63</definedName>
    <definedName name="SKU_Grocery">Operations!$P$61</definedName>
    <definedName name="SKU_HBC">Operations!$P$62</definedName>
    <definedName name="SKU_OPROD">Operations!$P$67</definedName>
    <definedName name="SKU_Paper">Operations!$P$65</definedName>
    <definedName name="SKU_Tobacco">Operations!$P$56</definedName>
    <definedName name="SLS_EXP">'Income Statement'!$T$56</definedName>
    <definedName name="SPEC">Data!$B$51</definedName>
    <definedName name="SPEC_GM">Data!$B$49</definedName>
    <definedName name="SqFt">Operations!$R$27</definedName>
    <definedName name="SqFt_Cold">Operations!$R$28</definedName>
    <definedName name="State">Overview!$P$30</definedName>
    <definedName name="STunits">Operations!$R$152</definedName>
    <definedName name="STutil">Operations!$R$154</definedName>
    <definedName name="STvalue">Operations!$R$153</definedName>
    <definedName name="SvcCalls">Operations!$R$146</definedName>
    <definedName name="SvcJobs">Operations!$R$149</definedName>
    <definedName name="SvcRecover">Operations!$R$148</definedName>
    <definedName name="SvcVeh_">Operations!$R$147</definedName>
    <definedName name="TA">'Balance Sheet'!$T$22</definedName>
    <definedName name="TA_2">Data!$B$205</definedName>
    <definedName name="Tax">'Income Statement'!$T$33</definedName>
    <definedName name="TaxStamped">Operations!$R$40</definedName>
    <definedName name="TE">'Income Statement'!$T$27</definedName>
    <definedName name="TechApplied">Operations!$R$139</definedName>
    <definedName name="TechBilled">Operations!$R$140</definedName>
    <definedName name="TechPaid">Operations!$R$142</definedName>
    <definedName name="TechWages">'Income Statement'!#REF!</definedName>
    <definedName name="Tele">'Income Statement'!$T$54</definedName>
    <definedName name="Title">Overview!$P$25</definedName>
    <definedName name="TOE">'Income Statement'!#REF!</definedName>
    <definedName name="TRN">'Income Statement'!#REF!</definedName>
    <definedName name="TRVL">'Income Statement'!$T$51</definedName>
    <definedName name="Turn_ALL">Operations!$T$68</definedName>
    <definedName name="Turn_Auto">Operations!$T$66</definedName>
    <definedName name="Turn_Beverage">Operations!$T$64</definedName>
    <definedName name="Turn_Candy">Operations!$T$57</definedName>
    <definedName name="Turn_Cigarettes">Operations!$T$55</definedName>
    <definedName name="Turn_Dairy">Operations!$T$60</definedName>
    <definedName name="Turn_Food">Operations!$T$58</definedName>
    <definedName name="Turn_Frozen">Operations!$T$59</definedName>
    <definedName name="Turn_GenlMdse">Operations!$T$63</definedName>
    <definedName name="Turn_Grocery">Operations!$T$61</definedName>
    <definedName name="Turn_HBC">Operations!$T$62</definedName>
    <definedName name="Turn_OPROD">Operations!$T$67</definedName>
    <definedName name="Turn_Paper">Operations!$T$65</definedName>
    <definedName name="Turn_Tabacco">Operations!$T$56</definedName>
    <definedName name="USEDINV">'Balance Sheet'!$AB$27</definedName>
    <definedName name="UT">'Income Statement'!$T$69</definedName>
    <definedName name="VEH">'Income Statement'!$T$24</definedName>
    <definedName name="Veh_Del">'Income Statement'!$T$68</definedName>
    <definedName name="WHS">Data!$U$6</definedName>
    <definedName name="WHS_GM">Data!$B$48</definedName>
    <definedName name="WHSCOGS">Data!$B$197</definedName>
    <definedName name="WHSGP">Data!$B$198</definedName>
    <definedName name="WHSNS">Data!$B$196</definedName>
    <definedName name="YesNoList">'[2]Exec Comp'!$N$2:$N$6</definedName>
    <definedName name="Yr">Overview!$K$4</definedName>
    <definedName name="Zipcode">Overview!$P$31</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738" i="18" l="1"/>
  <c r="E737" i="18"/>
  <c r="E736" i="18"/>
  <c r="E735" i="18"/>
  <c r="E734" i="18"/>
  <c r="E733" i="18"/>
  <c r="E732" i="18"/>
  <c r="E731" i="18"/>
  <c r="E730" i="18"/>
  <c r="R68" i="2"/>
  <c r="B171" i="18"/>
  <c r="E729" i="18"/>
  <c r="E728" i="18"/>
  <c r="E727" i="18"/>
  <c r="B537" i="18"/>
  <c r="B897" i="18"/>
  <c r="B871" i="18"/>
  <c r="T136" i="13"/>
  <c r="B113" i="18"/>
  <c r="H274" i="18"/>
  <c r="B827" i="18"/>
  <c r="B527" i="18"/>
  <c r="B819" i="18"/>
  <c r="B818" i="18"/>
  <c r="B817" i="18"/>
  <c r="B816" i="18"/>
  <c r="B815" i="18"/>
  <c r="B765" i="18"/>
  <c r="B764" i="18"/>
  <c r="B746" i="18"/>
  <c r="B539" i="18"/>
  <c r="B269" i="18"/>
  <c r="B181" i="18"/>
  <c r="B49" i="18"/>
  <c r="B59" i="18"/>
  <c r="B26" i="18"/>
  <c r="B25" i="18"/>
  <c r="B24" i="18"/>
  <c r="B23" i="18"/>
  <c r="B22" i="18"/>
  <c r="L3" i="18"/>
  <c r="B856" i="18"/>
  <c r="B872" i="18"/>
  <c r="B898" i="18"/>
  <c r="B896" i="18"/>
  <c r="B890" i="18"/>
  <c r="B889" i="18"/>
  <c r="B886" i="18"/>
  <c r="B885" i="18"/>
  <c r="B884" i="18"/>
  <c r="B880" i="18"/>
  <c r="B879" i="18"/>
  <c r="B878" i="18"/>
  <c r="B877" i="18"/>
  <c r="B876" i="18"/>
  <c r="B869" i="18"/>
  <c r="B865" i="18"/>
  <c r="B864" i="18"/>
  <c r="B863" i="18"/>
  <c r="B855" i="18"/>
  <c r="B854" i="18"/>
  <c r="B852" i="18"/>
  <c r="B851" i="18"/>
  <c r="B850" i="18"/>
  <c r="B842" i="18"/>
  <c r="B841" i="18"/>
  <c r="B834" i="18"/>
  <c r="B821" i="18"/>
  <c r="B814" i="18"/>
  <c r="B813" i="18"/>
  <c r="B812" i="18"/>
  <c r="B811" i="18"/>
  <c r="B810" i="18"/>
  <c r="B806" i="18"/>
  <c r="B805" i="18"/>
  <c r="B804" i="18"/>
  <c r="B800" i="18"/>
  <c r="B57" i="18"/>
  <c r="B796" i="18"/>
  <c r="B797" i="18"/>
  <c r="B54" i="18"/>
  <c r="B795" i="18"/>
  <c r="B792" i="18"/>
  <c r="B791" i="18"/>
  <c r="B761" i="18"/>
  <c r="B762" i="18"/>
  <c r="B759" i="18"/>
  <c r="B758" i="18"/>
  <c r="B754" i="18"/>
  <c r="B753" i="18"/>
  <c r="B752" i="18"/>
  <c r="B751" i="18"/>
  <c r="B747" i="18"/>
  <c r="B750" i="18"/>
  <c r="B749" i="18"/>
  <c r="B748" i="18"/>
  <c r="B745" i="18"/>
  <c r="B744" i="18"/>
  <c r="B743" i="18"/>
  <c r="B742" i="18"/>
  <c r="E581" i="18"/>
  <c r="E579" i="18"/>
  <c r="E573" i="18"/>
  <c r="E572" i="18"/>
  <c r="E570" i="18"/>
  <c r="E568" i="18"/>
  <c r="E567" i="18"/>
  <c r="E566" i="18"/>
  <c r="E562" i="18"/>
  <c r="E561" i="18"/>
  <c r="E560" i="18"/>
  <c r="E559" i="18"/>
  <c r="E558" i="18"/>
  <c r="E554" i="18"/>
  <c r="E552" i="18"/>
  <c r="E550" i="18"/>
  <c r="E546" i="18"/>
  <c r="E545" i="18"/>
  <c r="E544" i="18"/>
  <c r="E540" i="18"/>
  <c r="B405" i="18"/>
  <c r="B304" i="18"/>
  <c r="B302" i="18"/>
  <c r="B301" i="18"/>
  <c r="B296" i="18"/>
  <c r="B295" i="18"/>
  <c r="B293" i="18"/>
  <c r="B290" i="18"/>
  <c r="B288" i="18"/>
  <c r="B282" i="18"/>
  <c r="B281" i="18"/>
  <c r="E535" i="18"/>
  <c r="E534" i="18"/>
  <c r="E533" i="18"/>
  <c r="E531" i="18"/>
  <c r="E529" i="18"/>
  <c r="E528" i="18"/>
  <c r="E527" i="18"/>
  <c r="E525" i="18"/>
  <c r="E523" i="18"/>
  <c r="B514" i="18"/>
  <c r="B513" i="18"/>
  <c r="B189" i="18"/>
  <c r="B188" i="18"/>
  <c r="B187" i="18"/>
  <c r="B186" i="18"/>
  <c r="B182" i="18"/>
  <c r="B185" i="18"/>
  <c r="B184" i="18"/>
  <c r="B183" i="18"/>
  <c r="B180" i="18"/>
  <c r="B179" i="18"/>
  <c r="B178" i="18"/>
  <c r="B177" i="18"/>
  <c r="B66" i="18"/>
  <c r="B65" i="18"/>
  <c r="B64" i="18"/>
  <c r="B56" i="18"/>
  <c r="B55" i="18"/>
  <c r="B48" i="18"/>
  <c r="B67" i="18"/>
  <c r="B15" i="18"/>
  <c r="B150" i="18"/>
  <c r="B148" i="18"/>
  <c r="B146" i="18"/>
  <c r="B145" i="18"/>
  <c r="B144" i="18"/>
  <c r="B140" i="18"/>
  <c r="B139" i="18"/>
  <c r="B138" i="18"/>
  <c r="B137" i="18"/>
  <c r="B136" i="18"/>
  <c r="B134" i="18"/>
  <c r="B132" i="18"/>
  <c r="B130" i="18"/>
  <c r="B126" i="18"/>
  <c r="B125" i="18"/>
  <c r="T106" i="13"/>
  <c r="T103" i="13"/>
  <c r="B202" i="18"/>
  <c r="T96" i="13"/>
  <c r="B71" i="18"/>
  <c r="T9" i="7"/>
  <c r="B882" i="18"/>
  <c r="B888" i="18"/>
  <c r="E551" i="18"/>
  <c r="B868" i="18"/>
  <c r="E548" i="18"/>
  <c r="E524" i="18"/>
  <c r="E521" i="18"/>
  <c r="B5" i="6"/>
  <c r="B6" i="6"/>
  <c r="B89" i="13" s="1"/>
  <c r="P68" i="2"/>
  <c r="B31" i="18"/>
  <c r="R48" i="2"/>
  <c r="B801" i="18"/>
  <c r="R23" i="2"/>
  <c r="B835" i="18"/>
  <c r="B787" i="18"/>
  <c r="B783" i="18"/>
  <c r="B778" i="18"/>
  <c r="B768" i="18"/>
  <c r="B697" i="18"/>
  <c r="B2" i="7"/>
  <c r="B118" i="13" s="1"/>
  <c r="B69" i="18"/>
  <c r="B203" i="18"/>
  <c r="B3" i="18"/>
  <c r="B53" i="18"/>
  <c r="B34" i="18"/>
  <c r="B32" i="18"/>
  <c r="B33" i="18"/>
  <c r="B30" i="18"/>
  <c r="B68" i="18"/>
  <c r="B151" i="18"/>
  <c r="B18" i="18"/>
  <c r="B28" i="18"/>
  <c r="B19" i="18"/>
  <c r="B21" i="18"/>
  <c r="B20" i="18"/>
  <c r="B65" i="13"/>
  <c r="R53" i="13"/>
  <c r="B53" i="13"/>
  <c r="A86" i="13"/>
  <c r="R67" i="13"/>
  <c r="R64" i="13"/>
  <c r="R63" i="13"/>
  <c r="R61" i="13"/>
  <c r="R60" i="13"/>
  <c r="C67" i="13"/>
  <c r="B58" i="13"/>
  <c r="B59" i="13"/>
  <c r="B60" i="13"/>
  <c r="B66" i="13"/>
  <c r="B64" i="13"/>
  <c r="B63" i="13"/>
  <c r="B62" i="13"/>
  <c r="B61" i="13"/>
  <c r="B57" i="13"/>
  <c r="A57" i="13"/>
  <c r="B43" i="13"/>
  <c r="B42" i="13"/>
  <c r="B41" i="13"/>
  <c r="A41" i="13"/>
  <c r="B61" i="18"/>
  <c r="B1" i="18"/>
  <c r="B95" i="18"/>
  <c r="B114" i="18"/>
  <c r="B76" i="18"/>
  <c r="B75" i="18"/>
  <c r="B74" i="18"/>
  <c r="B73" i="18"/>
  <c r="B16" i="18"/>
  <c r="B17" i="18"/>
  <c r="R163" i="13"/>
  <c r="R161" i="13"/>
  <c r="R160" i="13"/>
  <c r="R159" i="13"/>
  <c r="R158" i="13"/>
  <c r="R157" i="13"/>
  <c r="P157" i="13"/>
  <c r="B124" i="13"/>
  <c r="M144" i="13"/>
  <c r="T139" i="13"/>
  <c r="T137" i="13"/>
  <c r="T141" i="13"/>
  <c r="T132" i="13"/>
  <c r="B139" i="13"/>
  <c r="B138" i="13"/>
  <c r="B131" i="13"/>
  <c r="C134" i="13"/>
  <c r="B133" i="13"/>
  <c r="B132" i="13"/>
  <c r="B130" i="13"/>
  <c r="B127" i="13"/>
  <c r="B126" i="13"/>
  <c r="T101" i="13"/>
  <c r="T100" i="13"/>
  <c r="T99" i="13"/>
  <c r="T98" i="13"/>
  <c r="D102" i="13"/>
  <c r="C101" i="13"/>
  <c r="C100" i="13"/>
  <c r="C99" i="13"/>
  <c r="C98" i="13"/>
  <c r="B105" i="13"/>
  <c r="T89" i="13"/>
  <c r="T88" i="13"/>
  <c r="T90" i="13"/>
  <c r="T86" i="13"/>
  <c r="B88" i="13"/>
  <c r="R43" i="13"/>
  <c r="R42" i="13"/>
  <c r="R83" i="13"/>
  <c r="R82" i="13"/>
  <c r="R81" i="13"/>
  <c r="J41" i="13"/>
  <c r="R78" i="13"/>
  <c r="R77" i="13"/>
  <c r="R76" i="13"/>
  <c r="R75" i="13"/>
  <c r="B78" i="13"/>
  <c r="S72" i="13"/>
  <c r="S71" i="13"/>
  <c r="R72" i="13"/>
  <c r="R71" i="13"/>
  <c r="R70" i="13"/>
  <c r="R51" i="13"/>
  <c r="R52" i="13"/>
  <c r="R50" i="13"/>
  <c r="R47" i="13"/>
  <c r="R48" i="13"/>
  <c r="R49" i="13"/>
  <c r="A74" i="13"/>
  <c r="B54" i="13"/>
  <c r="B51" i="13"/>
  <c r="B52" i="13"/>
  <c r="B50" i="13"/>
  <c r="B49" i="13"/>
  <c r="B47" i="13"/>
  <c r="B48" i="13"/>
  <c r="B46" i="13"/>
  <c r="R46" i="13"/>
  <c r="R37" i="13"/>
  <c r="B37" i="13"/>
  <c r="A37" i="13"/>
  <c r="B39" i="13"/>
  <c r="A39" i="13"/>
  <c r="B18" i="13"/>
  <c r="P12" i="13"/>
  <c r="B128" i="13"/>
  <c r="B17" i="13"/>
  <c r="B90" i="18"/>
  <c r="B70" i="18"/>
  <c r="B90" i="13"/>
  <c r="M4" i="7"/>
  <c r="B120" i="18"/>
  <c r="E3" i="18"/>
  <c r="M3" i="18"/>
  <c r="B11" i="18"/>
  <c r="K3" i="18"/>
  <c r="J3" i="18"/>
  <c r="I3" i="18"/>
  <c r="H3" i="18"/>
  <c r="C3" i="18"/>
  <c r="D4" i="18"/>
  <c r="D3" i="18"/>
  <c r="T148" i="13"/>
  <c r="T146" i="13"/>
  <c r="T115" i="13"/>
  <c r="T95" i="13"/>
  <c r="T85" i="13"/>
  <c r="T118" i="13"/>
  <c r="R54" i="13"/>
  <c r="P34" i="13"/>
  <c r="P33" i="13"/>
  <c r="P32" i="13"/>
  <c r="P31" i="13"/>
  <c r="P30" i="13"/>
  <c r="P29" i="13"/>
  <c r="P28" i="13"/>
  <c r="P27" i="13"/>
  <c r="P26" i="13"/>
  <c r="P25" i="13"/>
  <c r="P24" i="13"/>
  <c r="L8" i="13"/>
  <c r="M118" i="13" s="1"/>
  <c r="B76" i="13"/>
  <c r="H31" i="13"/>
  <c r="H30" i="13"/>
  <c r="H25" i="13"/>
  <c r="P3" i="13"/>
  <c r="B3" i="13"/>
  <c r="B77" i="13"/>
  <c r="N20" i="13"/>
  <c r="B153" i="13"/>
  <c r="B125" i="13"/>
  <c r="L116" i="13"/>
  <c r="J114" i="13"/>
  <c r="K112" i="13"/>
  <c r="I110" i="13"/>
  <c r="S118" i="13"/>
  <c r="S70" i="13"/>
  <c r="P21" i="13"/>
  <c r="B141" i="13"/>
  <c r="A155" i="13"/>
  <c r="B155" i="13"/>
  <c r="P156" i="13"/>
  <c r="R156" i="13"/>
  <c r="B157" i="13"/>
  <c r="B158" i="13"/>
  <c r="B159" i="13"/>
  <c r="B160" i="13"/>
  <c r="B161" i="13"/>
  <c r="B162" i="13"/>
  <c r="B163" i="13"/>
  <c r="B164" i="13"/>
  <c r="S129" i="13"/>
  <c r="S117" i="13"/>
  <c r="S113" i="13"/>
  <c r="S110" i="13"/>
  <c r="S104" i="13"/>
  <c r="S107" i="13"/>
  <c r="S95" i="13"/>
  <c r="J96" i="13"/>
  <c r="B86" i="13"/>
  <c r="B85" i="13"/>
  <c r="A118" i="13"/>
  <c r="B72" i="13"/>
  <c r="A69" i="13"/>
  <c r="B69" i="13"/>
  <c r="B22" i="13"/>
  <c r="B21" i="13"/>
  <c r="B23" i="13"/>
  <c r="P9" i="13"/>
  <c r="P7" i="13"/>
  <c r="B19" i="13"/>
  <c r="G150" i="13"/>
  <c r="B151" i="13"/>
  <c r="S151" i="13"/>
  <c r="S149" i="13"/>
  <c r="S145" i="13"/>
  <c r="S144" i="13"/>
  <c r="H147" i="13"/>
  <c r="H146" i="13"/>
  <c r="B150" i="13"/>
  <c r="B149" i="13"/>
  <c r="B148" i="13"/>
  <c r="B147" i="13"/>
  <c r="B146" i="13"/>
  <c r="I145" i="13"/>
  <c r="B145" i="13"/>
  <c r="B136" i="13"/>
  <c r="S136" i="13"/>
  <c r="B137" i="13"/>
  <c r="B140" i="13"/>
  <c r="B142" i="13"/>
  <c r="C143" i="13"/>
  <c r="S143" i="13"/>
  <c r="C144" i="13"/>
  <c r="B135" i="13"/>
  <c r="C129" i="13"/>
  <c r="J122" i="13"/>
  <c r="S122" i="13"/>
  <c r="S121" i="13"/>
  <c r="F120" i="13"/>
  <c r="A119" i="13"/>
  <c r="H107" i="13"/>
  <c r="A80" i="13"/>
  <c r="A45" i="13"/>
  <c r="B83" i="13"/>
  <c r="S120" i="13"/>
  <c r="B120" i="13"/>
  <c r="B82" i="13"/>
  <c r="B81" i="13"/>
  <c r="B80" i="13"/>
  <c r="B75" i="13"/>
  <c r="B74" i="13"/>
  <c r="B71" i="13"/>
  <c r="B70" i="13"/>
  <c r="C55" i="13"/>
  <c r="B119" i="13"/>
  <c r="A87" i="13"/>
  <c r="S86" i="13"/>
  <c r="S85" i="13"/>
  <c r="A85" i="13"/>
  <c r="B87" i="13"/>
  <c r="A92" i="13"/>
  <c r="B45" i="13"/>
  <c r="B35" i="13"/>
  <c r="B20" i="13"/>
  <c r="C121" i="13"/>
  <c r="B122" i="13"/>
  <c r="B123" i="13"/>
  <c r="B92" i="13"/>
  <c r="B93" i="13"/>
  <c r="B94" i="13"/>
  <c r="B95" i="13"/>
  <c r="B96" i="13"/>
  <c r="B97" i="13"/>
  <c r="B103" i="13"/>
  <c r="C104" i="13"/>
  <c r="B106" i="13"/>
  <c r="C107" i="13"/>
  <c r="B108" i="13"/>
  <c r="B109" i="13"/>
  <c r="B110" i="13"/>
  <c r="B111" i="13"/>
  <c r="B112" i="13"/>
  <c r="C113" i="13"/>
  <c r="B114" i="13"/>
  <c r="B115" i="13"/>
  <c r="B116" i="13"/>
  <c r="C117" i="13"/>
  <c r="T7" i="13"/>
  <c r="T6" i="13"/>
  <c r="O8" i="13"/>
  <c r="P11" i="13"/>
  <c r="P13" i="13"/>
  <c r="B15" i="13"/>
  <c r="A16" i="13"/>
  <c r="B16" i="13"/>
  <c r="H24" i="13"/>
  <c r="H26" i="13"/>
  <c r="H27" i="13"/>
  <c r="H29" i="13"/>
  <c r="H32" i="13"/>
  <c r="H33" i="13"/>
  <c r="H34" i="13"/>
  <c r="B82" i="18"/>
  <c r="T105" i="13"/>
  <c r="T121" i="13"/>
  <c r="T102" i="13"/>
  <c r="B77" i="18"/>
  <c r="R162" i="13"/>
  <c r="T143" i="13"/>
  <c r="B101" i="18"/>
  <c r="T120" i="13"/>
  <c r="B96" i="18"/>
  <c r="B231" i="18"/>
  <c r="B784" i="18"/>
  <c r="H528" i="18"/>
  <c r="H551" i="18"/>
  <c r="H552" i="18"/>
  <c r="H525" i="18"/>
  <c r="H541" i="18"/>
  <c r="B397" i="18"/>
  <c r="B275" i="18"/>
  <c r="B253" i="18"/>
  <c r="B307" i="18"/>
  <c r="H540" i="18"/>
  <c r="H534" i="18"/>
  <c r="H545" i="18"/>
  <c r="B680" i="18"/>
  <c r="H524" i="18"/>
  <c r="B446" i="18"/>
  <c r="B270" i="18"/>
  <c r="B306" i="18"/>
  <c r="P164" i="13"/>
  <c r="P165" i="13"/>
  <c r="B698" i="18"/>
  <c r="H527" i="18"/>
  <c r="B256" i="18"/>
  <c r="H548" i="18"/>
  <c r="B447" i="18"/>
  <c r="B214" i="18"/>
  <c r="B398" i="18"/>
  <c r="B393" i="18"/>
  <c r="B276" i="18"/>
  <c r="B494" i="18"/>
  <c r="H535" i="18"/>
  <c r="B51" i="18"/>
  <c r="B292" i="18"/>
  <c r="B779" i="18"/>
  <c r="H526" i="18"/>
  <c r="B196" i="18"/>
  <c r="B769" i="18"/>
  <c r="B396" i="18"/>
  <c r="B254" i="18"/>
  <c r="B442" i="18"/>
  <c r="H562" i="18"/>
  <c r="B50" i="18"/>
  <c r="B277" i="18"/>
  <c r="H546" i="18"/>
  <c r="H553" i="18"/>
  <c r="B699" i="18"/>
  <c r="B286" i="18"/>
  <c r="B294" i="18"/>
  <c r="B788" i="18"/>
  <c r="H547" i="18"/>
  <c r="H555" i="18"/>
  <c r="H543" i="18"/>
  <c r="P161" i="13"/>
  <c r="B236" i="18"/>
  <c r="B62" i="18"/>
  <c r="B72" i="18"/>
  <c r="T20" i="6"/>
  <c r="T104" i="13"/>
  <c r="B207" i="18"/>
  <c r="B257" i="18"/>
  <c r="R165" i="13"/>
  <c r="B287" i="18"/>
  <c r="H542" i="18"/>
  <c r="H539" i="18"/>
  <c r="H550" i="18"/>
  <c r="B149" i="18"/>
  <c r="T140" i="13"/>
  <c r="T131" i="13"/>
  <c r="R164" i="13"/>
  <c r="T133" i="13"/>
  <c r="B305" i="18"/>
  <c r="E549" i="18"/>
  <c r="B131" i="18"/>
  <c r="B284" i="18"/>
  <c r="E541" i="18"/>
  <c r="E571" i="18"/>
  <c r="B870" i="18"/>
  <c r="B285" i="18"/>
  <c r="B128" i="18"/>
  <c r="B867" i="18"/>
  <c r="B129" i="18"/>
  <c r="H532" i="18"/>
  <c r="B300" i="18"/>
  <c r="B299" i="18"/>
  <c r="B123" i="18"/>
  <c r="B211" i="18"/>
  <c r="B124" i="18"/>
  <c r="T150" i="13"/>
  <c r="B883" i="18"/>
  <c r="B58" i="18"/>
  <c r="B143" i="18"/>
  <c r="E565" i="18"/>
  <c r="R62" i="13"/>
  <c r="B303" i="18"/>
  <c r="B102" i="18"/>
  <c r="B208" i="18"/>
  <c r="B923" i="18"/>
  <c r="H273" i="18"/>
  <c r="B147" i="18"/>
  <c r="E569" i="18"/>
  <c r="B887" i="18"/>
  <c r="B892" i="18"/>
  <c r="E575" i="18"/>
  <c r="B153" i="18"/>
  <c r="B309" i="18"/>
  <c r="E526" i="18"/>
  <c r="B849" i="18"/>
  <c r="B853" i="18"/>
  <c r="E530" i="18"/>
  <c r="B857" i="18"/>
  <c r="E536" i="18"/>
  <c r="E543" i="18"/>
  <c r="B862" i="18"/>
  <c r="E547" i="18"/>
  <c r="B283" i="18"/>
  <c r="B866" i="18"/>
  <c r="B127" i="18"/>
  <c r="B135" i="18"/>
  <c r="B873" i="18"/>
  <c r="B291" i="18"/>
  <c r="E555" i="18"/>
  <c r="P162" i="13"/>
  <c r="P158" i="13"/>
  <c r="P159" i="13"/>
  <c r="P160" i="13"/>
  <c r="E726" i="18"/>
  <c r="B704" i="18"/>
  <c r="B204" i="18"/>
  <c r="B79" i="18"/>
  <c r="H560" i="18"/>
  <c r="B119" i="18"/>
  <c r="H561" i="18"/>
  <c r="T147" i="13"/>
  <c r="B538" i="18"/>
  <c r="E580" i="18"/>
  <c r="B271" i="18"/>
  <c r="H549" i="18"/>
  <c r="T138" i="13"/>
  <c r="B115" i="18"/>
  <c r="E553" i="18"/>
  <c r="E532" i="18"/>
  <c r="B532" i="18"/>
  <c r="T134" i="13"/>
  <c r="B531" i="18"/>
  <c r="B266" i="18"/>
  <c r="B110" i="18"/>
  <c r="T127" i="13"/>
  <c r="B715" i="18"/>
  <c r="B558" i="18"/>
  <c r="E591" i="18"/>
  <c r="E342" i="18"/>
  <c r="E594" i="18"/>
  <c r="B913" i="18"/>
  <c r="B948" i="18"/>
  <c r="B785" i="18"/>
  <c r="E369" i="18"/>
  <c r="B326" i="18"/>
  <c r="E328" i="18"/>
  <c r="E611" i="18"/>
  <c r="E600" i="18"/>
  <c r="B234" i="18"/>
  <c r="B460" i="18"/>
  <c r="E610" i="18"/>
  <c r="E370" i="18"/>
  <c r="B562" i="18"/>
  <c r="B935" i="18"/>
  <c r="E619" i="18"/>
  <c r="E518" i="18"/>
  <c r="E362" i="18"/>
  <c r="E350" i="18"/>
  <c r="E597" i="18"/>
  <c r="E320" i="18"/>
  <c r="H272" i="18"/>
  <c r="B109" i="18"/>
  <c r="H531" i="18"/>
  <c r="B265" i="18"/>
  <c r="B518" i="18"/>
  <c r="B826" i="18"/>
  <c r="E360" i="18"/>
  <c r="E632" i="18"/>
  <c r="B926" i="18"/>
  <c r="B909" i="18"/>
  <c r="B933" i="18"/>
  <c r="T126" i="13"/>
  <c r="B78" i="18"/>
  <c r="T22" i="6"/>
  <c r="B63" i="18"/>
  <c r="E337" i="18"/>
  <c r="B683" i="18"/>
  <c r="H513" i="18"/>
  <c r="E517" i="18"/>
  <c r="B492" i="18"/>
  <c r="E626" i="18"/>
  <c r="E588" i="18"/>
  <c r="B770" i="18"/>
  <c r="B845" i="18"/>
  <c r="B197" i="18"/>
  <c r="B703" i="18"/>
  <c r="B688" i="18"/>
  <c r="B459" i="18"/>
  <c r="E601" i="18"/>
  <c r="B556" i="18"/>
  <c r="B225" i="18"/>
  <c r="B517" i="18"/>
  <c r="B724" i="18"/>
  <c r="B483" i="18"/>
  <c r="E482" i="18"/>
  <c r="B722" i="18"/>
  <c r="B36" i="18"/>
  <c r="B39" i="18"/>
  <c r="B43" i="18"/>
  <c r="B774" i="18"/>
  <c r="B714" i="18"/>
  <c r="B712" i="18"/>
  <c r="B723" i="18"/>
  <c r="B42" i="18"/>
  <c r="B37" i="18"/>
  <c r="B173" i="18"/>
  <c r="B167" i="18"/>
  <c r="B481" i="18"/>
  <c r="E485" i="18"/>
  <c r="E476" i="18"/>
  <c r="B165" i="18"/>
  <c r="B731" i="18"/>
  <c r="B175" i="18"/>
  <c r="B485" i="18"/>
  <c r="E477" i="18"/>
  <c r="B40" i="18"/>
  <c r="B711" i="18"/>
  <c r="B719" i="18"/>
  <c r="B720" i="18"/>
  <c r="B721" i="18"/>
  <c r="B45" i="18"/>
  <c r="B35" i="18"/>
  <c r="B713" i="18"/>
  <c r="B716" i="18"/>
  <c r="B395" i="18"/>
  <c r="B479" i="18"/>
  <c r="E484" i="18"/>
  <c r="B729" i="18"/>
  <c r="B482" i="18"/>
  <c r="B738" i="18"/>
  <c r="B773" i="18"/>
  <c r="B44" i="18"/>
  <c r="B394" i="18"/>
  <c r="B717" i="18"/>
  <c r="B47" i="18"/>
  <c r="B718" i="18"/>
  <c r="B38" i="18"/>
  <c r="B41" i="18"/>
  <c r="B46" i="18"/>
  <c r="B246" i="18"/>
  <c r="B820" i="18"/>
  <c r="B27" i="18"/>
  <c r="B822" i="18"/>
  <c r="B438" i="18"/>
  <c r="B922" i="18"/>
  <c r="E618" i="18"/>
  <c r="E368" i="18"/>
  <c r="B908" i="18"/>
  <c r="E603" i="18"/>
  <c r="B937" i="18"/>
  <c r="E629" i="18"/>
  <c r="E602" i="18"/>
  <c r="B846" i="18"/>
  <c r="E354" i="18"/>
  <c r="E365" i="18"/>
  <c r="B919" i="18"/>
  <c r="B828" i="18"/>
  <c r="B198" i="18"/>
  <c r="B441" i="18"/>
  <c r="B495" i="18"/>
  <c r="B755" i="18"/>
  <c r="H529" i="18"/>
  <c r="E336" i="18"/>
  <c r="E606" i="18"/>
  <c r="B523" i="18"/>
  <c r="E539" i="18"/>
  <c r="B105" i="18"/>
  <c r="B548" i="18"/>
  <c r="B860" i="18"/>
  <c r="B917" i="18"/>
  <c r="B322" i="18"/>
  <c r="B534" i="18"/>
  <c r="B272" i="18"/>
  <c r="B891" i="18"/>
  <c r="H554" i="18"/>
  <c r="B333" i="18"/>
  <c r="E641" i="18"/>
  <c r="T142" i="13"/>
  <c r="E574" i="18"/>
  <c r="B559" i="18"/>
  <c r="B525" i="18"/>
  <c r="B107" i="18"/>
  <c r="E631" i="18"/>
  <c r="B324" i="18"/>
  <c r="B550" i="18"/>
  <c r="B939" i="18"/>
  <c r="E564" i="18"/>
  <c r="R66" i="13"/>
  <c r="E352" i="18"/>
  <c r="B789" i="18"/>
  <c r="B955" i="18"/>
  <c r="B912" i="18"/>
  <c r="E338" i="18"/>
  <c r="B336" i="18"/>
  <c r="E326" i="18"/>
  <c r="E346" i="18"/>
  <c r="B929" i="18"/>
  <c r="E620" i="18"/>
  <c r="E614" i="18"/>
  <c r="B945" i="18"/>
  <c r="B946" i="18"/>
  <c r="E638" i="18"/>
  <c r="B564" i="18"/>
  <c r="E351" i="18"/>
  <c r="B914" i="18"/>
  <c r="E375" i="18"/>
  <c r="E637" i="18"/>
  <c r="E592" i="18"/>
  <c r="B953" i="18"/>
  <c r="B327" i="18"/>
  <c r="E335" i="18"/>
  <c r="B553" i="18"/>
  <c r="B942" i="18"/>
  <c r="E636" i="18"/>
  <c r="E344" i="18"/>
  <c r="E347" i="18"/>
  <c r="E327" i="18"/>
  <c r="B941" i="18"/>
  <c r="E356" i="18"/>
  <c r="E340" i="18"/>
  <c r="E322" i="18"/>
  <c r="B907" i="18"/>
  <c r="E612" i="18"/>
  <c r="E363" i="18"/>
  <c r="B949" i="18"/>
  <c r="B780" i="18"/>
  <c r="E343" i="18"/>
  <c r="E617" i="18"/>
  <c r="B331" i="18"/>
  <c r="E333" i="18"/>
  <c r="E621" i="18"/>
  <c r="B500" i="18"/>
  <c r="E599" i="18"/>
  <c r="E334" i="18"/>
  <c r="B910" i="18"/>
  <c r="E596" i="18"/>
  <c r="B439" i="18"/>
  <c r="E595" i="18"/>
  <c r="E590" i="18"/>
  <c r="E329" i="18"/>
  <c r="E331" i="18"/>
  <c r="B928" i="18"/>
  <c r="B943" i="18"/>
  <c r="E628" i="18"/>
  <c r="B330" i="18"/>
  <c r="E361" i="18"/>
  <c r="E613" i="18"/>
  <c r="B920" i="18"/>
  <c r="E633" i="18"/>
  <c r="B940" i="18"/>
  <c r="B944" i="18"/>
  <c r="H514" i="18"/>
  <c r="E345" i="18"/>
  <c r="E367" i="18"/>
  <c r="E325" i="18"/>
  <c r="E324" i="18"/>
  <c r="B337" i="18"/>
  <c r="B947" i="18"/>
  <c r="B936" i="18"/>
  <c r="B338" i="18"/>
  <c r="E639" i="18"/>
  <c r="B552" i="18"/>
  <c r="B925" i="18"/>
  <c r="E593" i="18"/>
  <c r="B258" i="18"/>
  <c r="B911" i="18"/>
  <c r="E364" i="18"/>
  <c r="B557" i="18"/>
  <c r="B921" i="18"/>
  <c r="E598" i="18"/>
  <c r="E330" i="18"/>
  <c r="B906" i="18"/>
  <c r="E341" i="18"/>
  <c r="B954" i="18"/>
  <c r="E348" i="18"/>
  <c r="E615" i="18"/>
  <c r="E634" i="18"/>
  <c r="E616" i="18"/>
  <c r="E625" i="18"/>
  <c r="E622" i="18"/>
  <c r="E607" i="18"/>
  <c r="E332" i="18"/>
  <c r="E640" i="18"/>
  <c r="E635" i="18"/>
  <c r="E373" i="18"/>
  <c r="E608" i="18"/>
  <c r="B934" i="18"/>
  <c r="E642" i="18"/>
  <c r="E323" i="18"/>
  <c r="B563" i="18"/>
  <c r="E353" i="18"/>
  <c r="B836" i="18"/>
  <c r="B332" i="18"/>
  <c r="E357" i="18"/>
  <c r="E355" i="18"/>
  <c r="E374" i="18"/>
  <c r="E349" i="18"/>
  <c r="B930" i="18"/>
  <c r="B927" i="18"/>
  <c r="B924" i="18"/>
  <c r="E366" i="18"/>
  <c r="E627" i="18"/>
  <c r="B263" i="18"/>
  <c r="T128" i="13"/>
  <c r="H533" i="18"/>
  <c r="B529" i="18"/>
  <c r="B267" i="18"/>
  <c r="B554" i="18"/>
  <c r="B111" i="18"/>
  <c r="B328" i="18"/>
  <c r="B702" i="18"/>
  <c r="B168" i="18"/>
  <c r="B174" i="18"/>
  <c r="E483" i="18"/>
  <c r="B484" i="18"/>
  <c r="B734" i="18"/>
  <c r="B730" i="18"/>
  <c r="B480" i="18"/>
  <c r="B732" i="18"/>
  <c r="B736" i="18"/>
  <c r="E478" i="18"/>
  <c r="E486" i="18"/>
  <c r="B735" i="18"/>
  <c r="B478" i="18"/>
  <c r="B170" i="18"/>
  <c r="E474" i="18"/>
  <c r="B726" i="18"/>
  <c r="E480" i="18"/>
  <c r="B169" i="18"/>
  <c r="B477" i="18"/>
  <c r="B486" i="18"/>
  <c r="E475" i="18"/>
  <c r="E479" i="18"/>
  <c r="B737" i="18"/>
  <c r="B164" i="18"/>
  <c r="B172" i="18"/>
  <c r="B163" i="18"/>
  <c r="B475" i="18"/>
  <c r="B476" i="18"/>
  <c r="B727" i="18"/>
  <c r="E481" i="18"/>
  <c r="B728" i="18"/>
  <c r="B474" i="18"/>
  <c r="B166" i="18"/>
  <c r="B733" i="18"/>
  <c r="B775" i="18"/>
  <c r="B29" i="18"/>
  <c r="P163" i="13"/>
  <c r="B245" i="18"/>
  <c r="T122" i="13"/>
  <c r="B528" i="18"/>
  <c r="B533" i="18"/>
  <c r="R55" i="13"/>
  <c r="B499" i="18"/>
  <c r="R65" i="13"/>
  <c r="H522" i="18"/>
  <c r="B261" i="18"/>
  <c r="T111" i="13"/>
  <c r="T107" i="13"/>
  <c r="T33" i="6"/>
  <c r="B84" i="18"/>
  <c r="B205" i="18"/>
  <c r="B665" i="18"/>
  <c r="B83" i="18"/>
  <c r="B681" i="18"/>
  <c r="B232" i="18"/>
  <c r="B233" i="18"/>
  <c r="B682" i="18"/>
  <c r="B104" i="18"/>
  <c r="B547" i="18"/>
  <c r="R59" i="13"/>
  <c r="B522" i="18"/>
  <c r="B260" i="18"/>
  <c r="E321" i="18"/>
  <c r="E522" i="18"/>
  <c r="B321" i="18"/>
  <c r="E589" i="18"/>
  <c r="B687" i="18"/>
  <c r="B85" i="18"/>
  <c r="B224" i="18"/>
  <c r="T110" i="13"/>
  <c r="E563" i="18"/>
  <c r="B320" i="18"/>
  <c r="B521" i="18"/>
  <c r="B259" i="18"/>
  <c r="B103" i="18"/>
  <c r="H517" i="18"/>
  <c r="R58" i="13"/>
  <c r="B938" i="18"/>
  <c r="E630" i="18"/>
  <c r="T17" i="7"/>
  <c r="B546" i="18"/>
  <c r="B881" i="18"/>
  <c r="B235" i="18"/>
  <c r="B496" i="18"/>
  <c r="B705" i="18"/>
  <c r="B262" i="18"/>
  <c r="B861" i="18"/>
  <c r="B549" i="18"/>
  <c r="H523" i="18"/>
  <c r="B918" i="18"/>
  <c r="B524" i="18"/>
  <c r="E542" i="18"/>
  <c r="B106" i="18"/>
  <c r="E609" i="18"/>
  <c r="B323" i="18"/>
  <c r="E339" i="18"/>
  <c r="B684" i="18"/>
  <c r="B400" i="18"/>
  <c r="B399" i="18"/>
  <c r="B666" i="18"/>
  <c r="B86" i="18"/>
  <c r="B386" i="18"/>
  <c r="T114" i="13"/>
  <c r="B670" i="18"/>
  <c r="B89" i="18"/>
  <c r="B389" i="18"/>
  <c r="B385" i="18"/>
  <c r="T29" i="6"/>
  <c r="B223" i="18"/>
  <c r="B92" i="18"/>
  <c r="T117" i="13"/>
  <c r="T112" i="13"/>
  <c r="B667" i="18"/>
  <c r="B387" i="18"/>
  <c r="B661" i="18"/>
  <c r="B380" i="18"/>
  <c r="B657" i="18"/>
  <c r="B379" i="18"/>
  <c r="B656" i="18"/>
  <c r="B506" i="18"/>
  <c r="B216" i="18"/>
  <c r="B659" i="18"/>
  <c r="B384" i="18"/>
  <c r="B391" i="18"/>
  <c r="B383" i="18"/>
  <c r="B658" i="18"/>
  <c r="B451" i="18"/>
  <c r="B655" i="18"/>
  <c r="B378" i="18"/>
  <c r="B382" i="18"/>
  <c r="B381" i="18"/>
  <c r="B264" i="18"/>
  <c r="D144" i="18"/>
  <c r="T21" i="7"/>
  <c r="D145" i="18"/>
  <c r="H271" i="18"/>
  <c r="B325" i="18"/>
  <c r="D124" i="18"/>
  <c r="H530" i="18"/>
  <c r="B247" i="18"/>
  <c r="B526" i="18"/>
  <c r="B108" i="18"/>
  <c r="B551" i="18"/>
  <c r="D109" i="18"/>
  <c r="B825" i="18"/>
  <c r="D110" i="18"/>
  <c r="D125" i="18"/>
  <c r="T125" i="13"/>
  <c r="D111" i="18"/>
  <c r="D146" i="18"/>
  <c r="D126" i="18"/>
  <c r="B222" i="18"/>
  <c r="B706" i="18"/>
  <c r="B88" i="18"/>
  <c r="B668" i="18"/>
  <c r="B239" i="18"/>
  <c r="B677" i="18"/>
  <c r="B676" i="18"/>
  <c r="B241" i="18"/>
  <c r="B388" i="18"/>
  <c r="T32" i="6"/>
  <c r="B93" i="18"/>
  <c r="B87" i="18"/>
  <c r="B221" i="18"/>
  <c r="B675" i="18"/>
  <c r="T113" i="13"/>
  <c r="B491" i="18"/>
  <c r="F109" i="18"/>
  <c r="B502" i="18"/>
  <c r="H275" i="18"/>
  <c r="B555" i="18"/>
  <c r="H536" i="18"/>
  <c r="B829" i="18"/>
  <c r="B250" i="18"/>
  <c r="B268" i="18"/>
  <c r="B837" i="18"/>
  <c r="B831" i="18"/>
  <c r="B463" i="18"/>
  <c r="B501" i="18"/>
  <c r="T129" i="13"/>
  <c r="B112" i="18"/>
  <c r="B249" i="18"/>
  <c r="B248" i="18"/>
  <c r="T27" i="7"/>
  <c r="B530" i="18"/>
  <c r="B329" i="18"/>
  <c r="B206" i="18"/>
  <c r="B390" i="18"/>
  <c r="T116" i="13"/>
  <c r="B91" i="18"/>
  <c r="E644" i="18"/>
  <c r="B117" i="18"/>
  <c r="T28" i="7"/>
  <c r="E577" i="18"/>
  <c r="B118" i="18"/>
  <c r="B535" i="18"/>
  <c r="B465" i="18"/>
  <c r="B464" i="18"/>
  <c r="E371" i="18"/>
  <c r="B240" i="18"/>
  <c r="B273" i="18"/>
  <c r="B209" i="18"/>
  <c r="B440" i="18"/>
  <c r="B116" i="18"/>
  <c r="B334" i="18"/>
  <c r="B951" i="18"/>
  <c r="B560" i="18"/>
  <c r="H558" i="18"/>
  <c r="T144" i="13"/>
  <c r="B894" i="18"/>
  <c r="B218" i="18"/>
  <c r="B453" i="18"/>
  <c r="B689" i="18"/>
  <c r="B226" i="18"/>
  <c r="B508" i="18"/>
  <c r="B671" i="18"/>
  <c r="E578" i="18"/>
  <c r="B952" i="18"/>
  <c r="B536" i="18"/>
  <c r="B335" i="18"/>
  <c r="B561" i="18"/>
  <c r="H559" i="18"/>
  <c r="E645" i="18"/>
  <c r="B274" i="18"/>
  <c r="E372" i="18"/>
  <c r="B895" i="18"/>
  <c r="B467" i="18"/>
  <c r="T32" i="7"/>
  <c r="T145" i="13"/>
  <c r="B121" i="18"/>
  <c r="T34" i="7"/>
  <c r="T149" i="13"/>
  <c r="B212" i="18"/>
  <c r="B122" i="18"/>
  <c r="B210" i="18"/>
  <c r="B238" i="18"/>
  <c r="T151" i="13"/>
  <c r="B690" i="18"/>
  <c r="B565" i="18"/>
  <c r="B509" i="18"/>
  <c r="H563" i="18"/>
  <c r="E376" i="18"/>
  <c r="B452" i="18"/>
  <c r="B339" i="18"/>
  <c r="B692" i="18"/>
  <c r="B215" i="18"/>
  <c r="B227" i="18"/>
  <c r="B507" i="18"/>
  <c r="B219" i="18"/>
  <c r="B505" i="18"/>
  <c r="B454" i="18"/>
  <c r="B956" i="18"/>
  <c r="B540" i="18"/>
  <c r="B469" i="18"/>
  <c r="B468" i="18"/>
  <c r="B493" i="18"/>
  <c r="B228" i="18"/>
  <c r="E582" i="18"/>
  <c r="B229" i="18"/>
  <c r="B450" i="18"/>
  <c r="B899" i="18"/>
  <c r="B242" i="18"/>
  <c r="B217" i="18"/>
  <c r="B691" i="18"/>
  <c r="B278" i="18"/>
  <c r="B693" i="18"/>
</calcChain>
</file>

<file path=xl/sharedStrings.xml><?xml version="1.0" encoding="utf-8"?>
<sst xmlns="http://schemas.openxmlformats.org/spreadsheetml/2006/main" count="1418" uniqueCount="741">
  <si>
    <t>Mailing Address</t>
  </si>
  <si>
    <t>Telephone</t>
  </si>
  <si>
    <t xml:space="preserve"> </t>
  </si>
  <si>
    <t>%</t>
  </si>
  <si>
    <t>$</t>
  </si>
  <si>
    <t>Assets</t>
  </si>
  <si>
    <t>Current Assets</t>
  </si>
  <si>
    <t>Other Current Assets</t>
  </si>
  <si>
    <t>Liabilities and Net Worth</t>
  </si>
  <si>
    <t>Current Liabilities</t>
  </si>
  <si>
    <t>Inventory</t>
  </si>
  <si>
    <t>Cash &amp; Marketable Securities</t>
  </si>
  <si>
    <t>Company</t>
  </si>
  <si>
    <t>Survey Deadline</t>
  </si>
  <si>
    <t>Participant data will be aggregated in a way that prevents identification of any individual company.</t>
  </si>
  <si>
    <t>INSTRUCTIONS</t>
  </si>
  <si>
    <r>
      <t xml:space="preserve">Enter the financial statement figures for your </t>
    </r>
    <r>
      <rPr>
        <b/>
        <sz val="10"/>
        <rFont val="Arial"/>
        <family val="2"/>
      </rPr>
      <t>most recently completed fiscal year</t>
    </r>
    <r>
      <rPr>
        <sz val="10"/>
        <rFont val="Arial"/>
        <family val="2"/>
      </rPr>
      <t xml:space="preserve"> (12 months of data).  </t>
    </r>
  </si>
  <si>
    <t>Full year data is required, but the data need not be audited.</t>
  </si>
  <si>
    <t>Feel free to estimate if necessary.  It is better to make an educated guess than to leave a field blank.</t>
  </si>
  <si>
    <t>1.</t>
  </si>
  <si>
    <t>2.</t>
  </si>
  <si>
    <t>3.</t>
  </si>
  <si>
    <t>4.</t>
  </si>
  <si>
    <t>Major features of their data management procedure include:</t>
  </si>
  <si>
    <t>STATEMENT OF CONFIDENTIALITY</t>
  </si>
  <si>
    <t>procedures, they have never had a confidentiality problem.</t>
  </si>
  <si>
    <t xml:space="preserve">Specific data masking procedures are in place to ensure that no one company's data can be identified </t>
  </si>
  <si>
    <t>from the aggregate industry data being reported.</t>
  </si>
  <si>
    <t>Your firm's data will be identified in the database only by a company identification number.  A single</t>
  </si>
  <si>
    <t>Every precaution has been taken to protect the complete confidentiality of all information, and this</t>
  </si>
  <si>
    <t>responsibility is taken very seriously.  Companies of all sizes, from less than a million to well over a</t>
  </si>
  <si>
    <t>5.</t>
  </si>
  <si>
    <t>Please continue to the next tab</t>
  </si>
  <si>
    <t>6.</t>
  </si>
  <si>
    <t>7.</t>
  </si>
  <si>
    <t>8.</t>
  </si>
  <si>
    <t>Loans from Stockholders</t>
  </si>
  <si>
    <t>Fax</t>
  </si>
  <si>
    <t>Email Address</t>
  </si>
  <si>
    <t>No</t>
  </si>
  <si>
    <t>Yes</t>
  </si>
  <si>
    <t>Owners and management rightly feel that their firm's financial data is highly confidential.</t>
  </si>
  <si>
    <r>
      <t xml:space="preserve">b.  If yes, how much was your total </t>
    </r>
    <r>
      <rPr>
        <u/>
        <sz val="10"/>
        <rFont val="Arial"/>
        <family val="2"/>
      </rPr>
      <t>ending</t>
    </r>
    <r>
      <rPr>
        <sz val="10"/>
        <rFont val="Arial"/>
      </rPr>
      <t xml:space="preserve"> LIFO reserve?</t>
    </r>
  </si>
  <si>
    <t>Net Sales</t>
  </si>
  <si>
    <t>Other Income</t>
  </si>
  <si>
    <t>Interest Expense</t>
  </si>
  <si>
    <t>(Local, State, Federal)</t>
  </si>
  <si>
    <t>Income Taxes</t>
  </si>
  <si>
    <t>Operating Profit</t>
  </si>
  <si>
    <t>August</t>
  </si>
  <si>
    <t>September</t>
  </si>
  <si>
    <t>October</t>
  </si>
  <si>
    <t>Out of range</t>
  </si>
  <si>
    <t>9.</t>
  </si>
  <si>
    <t>Balance Sheet</t>
  </si>
  <si>
    <t>Cost of Goods Sold</t>
  </si>
  <si>
    <t>handling and protecting data submitted by firms for industry performance surveys. Because of their strict</t>
  </si>
  <si>
    <t>Income Statement</t>
  </si>
  <si>
    <t>CONFIDENTIAL</t>
  </si>
  <si>
    <t>Accounts Receivable</t>
  </si>
  <si>
    <t>All Other Operating Expenses</t>
  </si>
  <si>
    <t xml:space="preserve">  Net Profit After Taxes</t>
  </si>
  <si>
    <r>
      <t xml:space="preserve">a.  If yes, how much was your annual </t>
    </r>
    <r>
      <rPr>
        <u/>
        <sz val="10"/>
        <rFont val="Arial"/>
        <family val="2"/>
      </rPr>
      <t>addition</t>
    </r>
    <r>
      <rPr>
        <sz val="10"/>
        <rFont val="Arial"/>
        <family val="2"/>
      </rPr>
      <t xml:space="preserve"> to LIFO reserves for the year?</t>
    </r>
  </si>
  <si>
    <t>Total Assets</t>
  </si>
  <si>
    <t>Total Current Assets</t>
  </si>
  <si>
    <t>Total Current Liabilities</t>
  </si>
  <si>
    <t>Total Liabilities and Net Worth</t>
  </si>
  <si>
    <t>Email your completed questionnaire to:</t>
  </si>
  <si>
    <t>Accounts Payable</t>
  </si>
  <si>
    <t>Other Current Liabilities</t>
  </si>
  <si>
    <t>Long Term Liabilities</t>
  </si>
  <si>
    <t>Net Worth or Owner Equity</t>
  </si>
  <si>
    <t>Enter 1-12</t>
  </si>
  <si>
    <r>
      <t>Balance Sheet</t>
    </r>
    <r>
      <rPr>
        <sz val="10"/>
        <rFont val="Arial"/>
        <family val="2"/>
      </rPr>
      <t xml:space="preserve"> (end of fiscal year)</t>
    </r>
  </si>
  <si>
    <t>Questions regarding this survey?</t>
  </si>
  <si>
    <t>from the data files, where the data is identified only by ID number.</t>
  </si>
  <si>
    <t>master list which cross-references company names and their ID numbers is maintained separately</t>
  </si>
  <si>
    <t>Only items in boxes can be entered.  All other items are calculated automatically.</t>
  </si>
  <si>
    <t>performance to industry benchmarks, please complete the following:</t>
  </si>
  <si>
    <t>Press the Print icon on the tool bar to print a copy of the questionnaire</t>
  </si>
  <si>
    <t>or fax Mackay Research Group, (720) 890-8719</t>
  </si>
  <si>
    <t>Name</t>
  </si>
  <si>
    <t>Title</t>
  </si>
  <si>
    <t>City</t>
  </si>
  <si>
    <t>State</t>
  </si>
  <si>
    <t>Zip Code</t>
  </si>
  <si>
    <t>Year</t>
  </si>
  <si>
    <t>Address1</t>
  </si>
  <si>
    <t>Address2</t>
  </si>
  <si>
    <t>Zipcode</t>
  </si>
  <si>
    <t>Phone</t>
  </si>
  <si>
    <t>Eaddr</t>
  </si>
  <si>
    <t>OEMP</t>
  </si>
  <si>
    <t>EMP</t>
  </si>
  <si>
    <t>PREV</t>
  </si>
  <si>
    <t>AAR</t>
  </si>
  <si>
    <t>AVG</t>
  </si>
  <si>
    <t>LIFO</t>
  </si>
  <si>
    <t>ADD</t>
  </si>
  <si>
    <t>END</t>
  </si>
  <si>
    <t>TA</t>
  </si>
  <si>
    <t>CA</t>
  </si>
  <si>
    <t>CASH</t>
  </si>
  <si>
    <t>AR</t>
  </si>
  <si>
    <t>INV</t>
  </si>
  <si>
    <t>OCA</t>
  </si>
  <si>
    <t>FIXED</t>
  </si>
  <si>
    <t>OFA</t>
  </si>
  <si>
    <t>CL</t>
  </si>
  <si>
    <t>AP</t>
  </si>
  <si>
    <t>NP</t>
  </si>
  <si>
    <t>OCL</t>
  </si>
  <si>
    <t>LTL</t>
  </si>
  <si>
    <t>LOAN</t>
  </si>
  <si>
    <t>EQTY</t>
  </si>
  <si>
    <t>LIAB</t>
  </si>
  <si>
    <t>NS</t>
  </si>
  <si>
    <t>RM</t>
  </si>
  <si>
    <t>UT</t>
  </si>
  <si>
    <t>RENT</t>
  </si>
  <si>
    <t>EQUIP</t>
  </si>
  <si>
    <t>INS</t>
  </si>
  <si>
    <t>DPR</t>
  </si>
  <si>
    <t>COGS</t>
  </si>
  <si>
    <t>GP</t>
  </si>
  <si>
    <t>PA</t>
  </si>
  <si>
    <t>AD</t>
  </si>
  <si>
    <t>OE</t>
  </si>
  <si>
    <t>TOE</t>
  </si>
  <si>
    <t>TE</t>
  </si>
  <si>
    <t>OP</t>
  </si>
  <si>
    <t>OI</t>
  </si>
  <si>
    <t>INT</t>
  </si>
  <si>
    <t>OEX</t>
  </si>
  <si>
    <t>PBT</t>
  </si>
  <si>
    <t>TAX</t>
  </si>
  <si>
    <t>NET</t>
  </si>
  <si>
    <t>(Health insurance, pension, 401(k), vacation, &amp; other benefits not mandated by the government)</t>
  </si>
  <si>
    <t>or mail Mackay Research Group, P.O. Box 17668, Boulder, CO 80308-0668</t>
  </si>
  <si>
    <t>ID</t>
  </si>
  <si>
    <t>.</t>
  </si>
  <si>
    <t>*** FIFO Inventory Valuation System used, Skip to Balance Sheet below</t>
  </si>
  <si>
    <t>(Fiscal year</t>
  </si>
  <si>
    <t>, 12 months of data)</t>
  </si>
  <si>
    <t>(12 months of data, most recent fiscal year)</t>
  </si>
  <si>
    <t>Y</t>
  </si>
  <si>
    <t>N</t>
  </si>
  <si>
    <r>
      <t xml:space="preserve">As an option, </t>
    </r>
    <r>
      <rPr>
        <b/>
        <sz val="10"/>
        <rFont val="Arial"/>
        <family val="2"/>
      </rPr>
      <t xml:space="preserve">you may submit a copy of your income statement and balance sheet </t>
    </r>
    <r>
      <rPr>
        <sz val="10"/>
        <rFont val="Arial"/>
        <family val="2"/>
      </rPr>
      <t>(12 months of data)</t>
    </r>
  </si>
  <si>
    <t>Operations</t>
  </si>
  <si>
    <t>#</t>
  </si>
  <si>
    <t>10.</t>
  </si>
  <si>
    <t>11.</t>
  </si>
  <si>
    <t>12.</t>
  </si>
  <si>
    <t>New Power Equipment Inventory</t>
  </si>
  <si>
    <t>Used Power Equipment Inventory</t>
  </si>
  <si>
    <t>Parts Inventory</t>
  </si>
  <si>
    <t>All Other Inventory</t>
  </si>
  <si>
    <r>
      <t xml:space="preserve">Rental Fleet </t>
    </r>
    <r>
      <rPr>
        <sz val="10"/>
        <rFont val="Arial Narrow"/>
        <family val="2"/>
      </rPr>
      <t>(net of depreciation)</t>
    </r>
  </si>
  <si>
    <t>13.</t>
  </si>
  <si>
    <t>14.</t>
  </si>
  <si>
    <t>Operating Expenses</t>
  </si>
  <si>
    <t>Payroll Expenses</t>
  </si>
  <si>
    <r>
      <t xml:space="preserve">Total </t>
    </r>
    <r>
      <rPr>
        <b/>
        <sz val="10"/>
        <rFont val="Arial"/>
        <family val="2"/>
      </rPr>
      <t>Payroll Expenses</t>
    </r>
  </si>
  <si>
    <t>Gross Profit</t>
  </si>
  <si>
    <t>Total Operating Expenses</t>
  </si>
  <si>
    <t>Total Other Operating Expenses</t>
  </si>
  <si>
    <t>Occupancy Expenses</t>
  </si>
  <si>
    <t>Building Repairs &amp; Maintenance</t>
  </si>
  <si>
    <t>Total Occupancy Expenses</t>
  </si>
  <si>
    <t>Other Operating Expenses</t>
  </si>
  <si>
    <r>
      <t>If you would like a</t>
    </r>
    <r>
      <rPr>
        <b/>
        <sz val="10"/>
        <rFont val="Arial"/>
        <family val="2"/>
      </rPr>
      <t xml:space="preserve"> FREE </t>
    </r>
    <r>
      <rPr>
        <sz val="10"/>
        <rFont val="Arial"/>
        <family val="2"/>
      </rPr>
      <t xml:space="preserve">individual </t>
    </r>
    <r>
      <rPr>
        <b/>
        <sz val="10"/>
        <rFont val="Arial"/>
        <family val="2"/>
      </rPr>
      <t>Financial Benchmarking Report</t>
    </r>
    <r>
      <rPr>
        <sz val="10"/>
        <rFont val="Arial"/>
        <family val="2"/>
      </rPr>
      <t xml:space="preserve"> which compares your company's</t>
    </r>
  </si>
  <si>
    <t>MHEDA</t>
  </si>
  <si>
    <t>Total</t>
  </si>
  <si>
    <t>EMP_Exec</t>
  </si>
  <si>
    <t>CUST</t>
  </si>
  <si>
    <t>AAP</t>
  </si>
  <si>
    <t>NEWINV</t>
  </si>
  <si>
    <t>USEDINV</t>
  </si>
  <si>
    <t>PARTSINV</t>
  </si>
  <si>
    <t>OINV</t>
  </si>
  <si>
    <t>TechWages</t>
  </si>
  <si>
    <t>RentalCost</t>
  </si>
  <si>
    <t>SAL</t>
  </si>
  <si>
    <t>PT</t>
  </si>
  <si>
    <t>BENE</t>
  </si>
  <si>
    <t>Grp_Ins</t>
  </si>
  <si>
    <t>OC</t>
  </si>
  <si>
    <t>VEH</t>
  </si>
  <si>
    <t>TRN</t>
  </si>
  <si>
    <t>MIS</t>
  </si>
  <si>
    <t>Total Salaries, Wages, Commissions &amp; Bonuses</t>
  </si>
  <si>
    <t>Assn</t>
  </si>
  <si>
    <t>BALANCE SHEET</t>
  </si>
  <si>
    <t>INCOME STATEMENT</t>
  </si>
  <si>
    <t>GFA</t>
  </si>
  <si>
    <t>ACCDPR</t>
  </si>
  <si>
    <t>b</t>
  </si>
  <si>
    <t>Tele</t>
  </si>
  <si>
    <t>Enter 1-5</t>
  </si>
  <si>
    <t>C Corporation</t>
  </si>
  <si>
    <t>S Corporation</t>
  </si>
  <si>
    <t>PA_OTH</t>
  </si>
  <si>
    <t>EMP_Out</t>
  </si>
  <si>
    <t>EMP_Inside</t>
  </si>
  <si>
    <t>PA_Exec</t>
  </si>
  <si>
    <t>PA_Inside</t>
  </si>
  <si>
    <t>EMP_WHS</t>
  </si>
  <si>
    <t>PA_WHS</t>
  </si>
  <si>
    <t>January</t>
  </si>
  <si>
    <t>February</t>
  </si>
  <si>
    <t>March</t>
  </si>
  <si>
    <t>April</t>
  </si>
  <si>
    <t>May</t>
  </si>
  <si>
    <t>June</t>
  </si>
  <si>
    <t>July</t>
  </si>
  <si>
    <t>November</t>
  </si>
  <si>
    <t>December</t>
  </si>
  <si>
    <t>Number of FTE employees</t>
  </si>
  <si>
    <t>Warehouse Employees</t>
  </si>
  <si>
    <t>Total number of FTE employees</t>
  </si>
  <si>
    <t>EMP_Driver</t>
  </si>
  <si>
    <t>EMP_SlsMgr</t>
  </si>
  <si>
    <t>Executive Salaries</t>
  </si>
  <si>
    <t>Branch Managers Salaries</t>
  </si>
  <si>
    <t>Sales Manager Salaries &amp; Commissions</t>
  </si>
  <si>
    <t>Inside Sales Salaries &amp; Commissions</t>
  </si>
  <si>
    <t>Purchasing department salaries &amp; wages</t>
  </si>
  <si>
    <t>Credit department salaries &amp; wages</t>
  </si>
  <si>
    <t>IT department salaries &amp; wages</t>
  </si>
  <si>
    <t>Warehouse salaries &amp; wages</t>
  </si>
  <si>
    <t>Accounting salaries &amp; wages</t>
  </si>
  <si>
    <t>Delivery Driver salaries &amp; wages</t>
  </si>
  <si>
    <t>PA_Driver</t>
  </si>
  <si>
    <t>PA_IT</t>
  </si>
  <si>
    <t>PA_Pur</t>
  </si>
  <si>
    <t>PA_SlsMgr</t>
  </si>
  <si>
    <t>PA_OUT</t>
  </si>
  <si>
    <t>Personal Property Taxes &amp; Licenses</t>
  </si>
  <si>
    <t>Collection Expenses</t>
  </si>
  <si>
    <t>Insurance</t>
  </si>
  <si>
    <t>Depreciation</t>
  </si>
  <si>
    <t>Vehicle</t>
  </si>
  <si>
    <t>Sales Promotion</t>
  </si>
  <si>
    <t>Bad Debt Losses</t>
  </si>
  <si>
    <t>Data Processing</t>
  </si>
  <si>
    <t>Employee Training</t>
  </si>
  <si>
    <t>BD</t>
  </si>
  <si>
    <t>Payroll Taxes</t>
  </si>
  <si>
    <t>Group Insurance</t>
  </si>
  <si>
    <t>Collections</t>
  </si>
  <si>
    <t>Other Expense</t>
  </si>
  <si>
    <t>Profit Before Taxes</t>
  </si>
  <si>
    <t>Average Inventory</t>
  </si>
  <si>
    <t>Average Accounts Receivable</t>
  </si>
  <si>
    <t>Average Accounts Payable</t>
  </si>
  <si>
    <t>Were you on a LIFO Inventory Valuation System last year?</t>
  </si>
  <si>
    <t>No=0 / Yes=1</t>
  </si>
  <si>
    <t>NW</t>
  </si>
  <si>
    <t>Average number of lines per order</t>
  </si>
  <si>
    <t>Average number of shipments received per month</t>
  </si>
  <si>
    <t>SKU</t>
  </si>
  <si>
    <t>Lines</t>
  </si>
  <si>
    <t>Orders</t>
  </si>
  <si>
    <t>Shipments</t>
  </si>
  <si>
    <t>All other products</t>
  </si>
  <si>
    <t>Total Sales</t>
  </si>
  <si>
    <t>WHS</t>
  </si>
  <si>
    <t>SPEC</t>
  </si>
  <si>
    <t>DROP</t>
  </si>
  <si>
    <t>What percentage of your sales are cash, check or C.O.D.?</t>
  </si>
  <si>
    <t>CSH</t>
  </si>
  <si>
    <t>Your data will be treated confidentially by Benchmarking Analytics.</t>
  </si>
  <si>
    <t>surveys@BenchmarkingAnalytics.com</t>
  </si>
  <si>
    <t>tmackay@BenchmarkingAnalytics.com</t>
  </si>
  <si>
    <t>Benchmarking Analytics is extremely sensitive to this issue, and has developed secure methods of</t>
  </si>
  <si>
    <t>The processing of such data is restricted exclusively to employees of the Benchmarking Analytics.</t>
  </si>
  <si>
    <t>Benchmarking Analytics independently conducts this survey for KWGA; you send your questionnaire</t>
  </si>
  <si>
    <t>In summary, confidentiality of client information is at the core of Benchmarking Analytics's business.</t>
  </si>
  <si>
    <t xml:space="preserve">billion dollars in sales, send thousands of survey forms to Benchmarking Analytics each year, trusting  </t>
  </si>
  <si>
    <t>Benchmarking Analytics to securely manage their sensitive data.</t>
  </si>
  <si>
    <t>START ANALYSIS</t>
  </si>
  <si>
    <t>directly to Benchmarking Analytics.  Access to your data will be solely restricted to necessary</t>
  </si>
  <si>
    <t>Benchmarking Analytics personnel.</t>
  </si>
  <si>
    <t>WHSNS</t>
  </si>
  <si>
    <t>WHSCOGS</t>
  </si>
  <si>
    <t>WHSGP</t>
  </si>
  <si>
    <t>LIFO ADJUSTMENTS</t>
  </si>
  <si>
    <t>AVG_2</t>
  </si>
  <si>
    <t>INV_2</t>
  </si>
  <si>
    <t>CA_2</t>
  </si>
  <si>
    <t>TA_2</t>
  </si>
  <si>
    <t>NW_2</t>
  </si>
  <si>
    <t>COGS_2</t>
  </si>
  <si>
    <t>GP_2</t>
  </si>
  <si>
    <t>OP_2</t>
  </si>
  <si>
    <t>PBT_2</t>
  </si>
  <si>
    <t>NET_2</t>
  </si>
  <si>
    <t>PB_Bonus_2</t>
  </si>
  <si>
    <t>INC</t>
  </si>
  <si>
    <t>PM</t>
  </si>
  <si>
    <t>ATO</t>
  </si>
  <si>
    <t>ROA</t>
  </si>
  <si>
    <t>LEV</t>
  </si>
  <si>
    <t>ROWN</t>
  </si>
  <si>
    <t>CUR</t>
  </si>
  <si>
    <t>QUICK</t>
  </si>
  <si>
    <t>CASHCL</t>
  </si>
  <si>
    <t>AP/INV</t>
  </si>
  <si>
    <t>APDAYS</t>
  </si>
  <si>
    <t>DEBT</t>
  </si>
  <si>
    <t>EBIT</t>
  </si>
  <si>
    <t>EBITTA</t>
  </si>
  <si>
    <t>TIMES</t>
  </si>
  <si>
    <t>ARDAYS</t>
  </si>
  <si>
    <t>TURN</t>
  </si>
  <si>
    <t>INVDAYS</t>
  </si>
  <si>
    <t>SALES/INV</t>
  </si>
  <si>
    <t>GMROI</t>
  </si>
  <si>
    <t>Sales/FA</t>
  </si>
  <si>
    <t>GPI</t>
  </si>
  <si>
    <t>CASH/CL</t>
  </si>
  <si>
    <t>DEFENSE</t>
  </si>
  <si>
    <t>WORK</t>
  </si>
  <si>
    <t>Employee Productivity</t>
  </si>
  <si>
    <t xml:space="preserve">Revenue Producing Emps. </t>
  </si>
  <si>
    <t>Sales $ per Employee</t>
  </si>
  <si>
    <t>Gross Profit $ per Employee</t>
  </si>
  <si>
    <t>Salary $ per Employee (incl. direct labor)</t>
  </si>
  <si>
    <t>Payroll $ per Employee (incl. direct labor)</t>
  </si>
  <si>
    <t>Total Payroll Expense (% of Net Sales)</t>
  </si>
  <si>
    <t>Personnel Productivity Ratio (payroll % of GP)</t>
  </si>
  <si>
    <t>Sales Per Shipment Received</t>
  </si>
  <si>
    <t>Sales Per SKU</t>
  </si>
  <si>
    <t>Inventory Per SKU</t>
  </si>
  <si>
    <t>Sales Per Customer</t>
  </si>
  <si>
    <t>Sales Per Order</t>
  </si>
  <si>
    <t>Sales Per Order Line</t>
  </si>
  <si>
    <t>cash cycle</t>
  </si>
  <si>
    <t>Gross Cash Flow</t>
  </si>
  <si>
    <r>
      <t xml:space="preserve">For averages below use either: (sum of 12 month-end balances / 12) </t>
    </r>
    <r>
      <rPr>
        <u/>
        <sz val="10"/>
        <rFont val="Arial"/>
        <family val="2"/>
      </rPr>
      <t>OR</t>
    </r>
    <r>
      <rPr>
        <sz val="10"/>
        <rFont val="Arial"/>
        <family val="2"/>
      </rPr>
      <t xml:space="preserve"> (sum of 4 quarterly balances / 4)</t>
    </r>
  </si>
  <si>
    <t>15.</t>
  </si>
  <si>
    <t>16.</t>
  </si>
  <si>
    <t>17.</t>
  </si>
  <si>
    <t>18.</t>
  </si>
  <si>
    <t>19.</t>
  </si>
  <si>
    <t>20.</t>
  </si>
  <si>
    <t>21.</t>
  </si>
  <si>
    <t>Columns</t>
  </si>
  <si>
    <t>HighProfit</t>
  </si>
  <si>
    <t>Sales</t>
  </si>
  <si>
    <t>Scorecard</t>
  </si>
  <si>
    <t>Number Of Firms Reporting</t>
  </si>
  <si>
    <t>Return On Investment</t>
  </si>
  <si>
    <t>Profit Margin (Pre-tax)</t>
  </si>
  <si>
    <t>Asset Turnover</t>
  </si>
  <si>
    <t>Return On Assets (Pre-tax)</t>
  </si>
  <si>
    <t>Financial Leverage</t>
  </si>
  <si>
    <t>Return On Net Worth (Pre-tax)</t>
  </si>
  <si>
    <t>Critical Profit Variables</t>
  </si>
  <si>
    <t>Sales per Employee</t>
  </si>
  <si>
    <t>Gross Margin</t>
  </si>
  <si>
    <t>Inventory Turnover</t>
  </si>
  <si>
    <t>Average Collection Period (Days)</t>
  </si>
  <si>
    <t>Typical Sales Volume (Millions)</t>
  </si>
  <si>
    <t>Income Statement (% of Net Sales)</t>
  </si>
  <si>
    <t>Net Sales (%)</t>
  </si>
  <si>
    <t>All Other Employee Salaries &amp; Bonuses</t>
  </si>
  <si>
    <t>Total Salaries, Wages &amp; Bonuses</t>
  </si>
  <si>
    <t>Benefit Plans</t>
  </si>
  <si>
    <t>Total Payroll Expenses</t>
  </si>
  <si>
    <t>Utilities (Heat, Light, Power, Water)</t>
  </si>
  <si>
    <t>Rent Or Ownership In Real Estate</t>
  </si>
  <si>
    <t>Expense Detail (% of Gross Profit)</t>
  </si>
  <si>
    <t>Balance Sheet (% of Assets)</t>
  </si>
  <si>
    <t xml:space="preserve">Accounts Receivable </t>
  </si>
  <si>
    <t>Fixed &amp; Non-current Assets</t>
  </si>
  <si>
    <t>Lliabilities</t>
  </si>
  <si>
    <t xml:space="preserve">Accounts Payable </t>
  </si>
  <si>
    <t>Notes Payable</t>
  </si>
  <si>
    <t>Net Worth Or Owner Equity</t>
  </si>
  <si>
    <t>Total Liabilities &amp; Net Worth</t>
  </si>
  <si>
    <t>Financial Ratios</t>
  </si>
  <si>
    <t>Current Ratio</t>
  </si>
  <si>
    <t>Quick Ratio</t>
  </si>
  <si>
    <t>Accounts Payable to Inventory</t>
  </si>
  <si>
    <t>Accounts Payable Payout Period (Days)</t>
  </si>
  <si>
    <t>Debt to Equity</t>
  </si>
  <si>
    <t>EBIT To Total Assets</t>
  </si>
  <si>
    <t>Times Interest Earned</t>
  </si>
  <si>
    <t>Asset Productivity</t>
  </si>
  <si>
    <t>Bad Debt Losses (% Of Sales)</t>
  </si>
  <si>
    <t>Inventory Turnover (Times)</t>
  </si>
  <si>
    <t>Inventory Holding Period (Days)</t>
  </si>
  <si>
    <t>Sales To Inventory Ratio (Times)</t>
  </si>
  <si>
    <t>Gross Margin Return On Inventory</t>
  </si>
  <si>
    <t>Growth &amp; Cash</t>
  </si>
  <si>
    <t>Cash Cycle (Days)</t>
  </si>
  <si>
    <t>Cash To Current Liabilities</t>
  </si>
  <si>
    <t>Sales To Working Capital</t>
  </si>
  <si>
    <t>Stockkeeping Units (SKUs)</t>
  </si>
  <si>
    <t>Number Of SKUs</t>
  </si>
  <si>
    <t>Customers</t>
  </si>
  <si>
    <t>Average Lines Per Order</t>
  </si>
  <si>
    <t>Product Sales</t>
  </si>
  <si>
    <t>All Other Products</t>
  </si>
  <si>
    <t>Gross Margin per Employee</t>
  </si>
  <si>
    <t>Payroll Per Employee (Including Benefits)</t>
  </si>
  <si>
    <t>Personnel Productivity Ratio (Total Firm)</t>
  </si>
  <si>
    <t>FTE Employees</t>
  </si>
  <si>
    <t>Total Number Of FTE Employees</t>
  </si>
  <si>
    <t>= Gross Profit – Total Operating Expenses</t>
  </si>
  <si>
    <t xml:space="preserve"> Profit Before Taxes</t>
  </si>
  <si>
    <t>Thanks for participating</t>
  </si>
  <si>
    <t>Benchmarking Analytics, P.O. Box 17668, Boulder, CO 80308</t>
  </si>
  <si>
    <t>= Net Sales - Cost Of Goods Sold)</t>
  </si>
  <si>
    <t>PA_TECH</t>
  </si>
  <si>
    <t>NS_Online</t>
  </si>
  <si>
    <t>Liquidity Ratios</t>
  </si>
  <si>
    <t>And other useless crap</t>
  </si>
  <si>
    <t>EBITDA</t>
  </si>
  <si>
    <t>REPORT LAYOUT ORDER</t>
  </si>
  <si>
    <t>Executive Summary</t>
  </si>
  <si>
    <t>Cost Of Goods Sold</t>
  </si>
  <si>
    <t xml:space="preserve">Gross Margin </t>
  </si>
  <si>
    <t>Other Income/Expenses</t>
  </si>
  <si>
    <t>Sales Growth (2019 vs. 2018)</t>
  </si>
  <si>
    <t>Product Mix</t>
  </si>
  <si>
    <t>Customer Training/Technical Support</t>
  </si>
  <si>
    <t>Officers' Discretionary Bonus</t>
  </si>
  <si>
    <t>Employee Discretionary Bonus</t>
  </si>
  <si>
    <t>Cash Cycle</t>
  </si>
  <si>
    <t xml:space="preserve">Plus Inventory Holding Period </t>
  </si>
  <si>
    <t xml:space="preserve">Gross Cash Flow </t>
  </si>
  <si>
    <t>Minus A/P Payout Period</t>
  </si>
  <si>
    <t>Asset Productivity Raatios</t>
  </si>
  <si>
    <t>Cash Sales (% of Sales)</t>
  </si>
  <si>
    <t>Gross Profit per Employee</t>
  </si>
  <si>
    <t>Sales per Customer</t>
  </si>
  <si>
    <t>Number of Active Customers</t>
  </si>
  <si>
    <t>Gross Profit per Customer</t>
  </si>
  <si>
    <t>Gross Profit per Order</t>
  </si>
  <si>
    <t>Sales per Order</t>
  </si>
  <si>
    <t>Number of Orders Shipped per Month</t>
  </si>
  <si>
    <t>Gross Profit per Order Line</t>
  </si>
  <si>
    <t>Sales per Shipment Received</t>
  </si>
  <si>
    <t>Shipments Received per Month</t>
  </si>
  <si>
    <t>COGS per Shipment Received</t>
  </si>
  <si>
    <r>
      <t>Payroll Taxes —</t>
    </r>
    <r>
      <rPr>
        <sz val="10"/>
        <rFont val="Arial Narrow"/>
        <family val="2"/>
      </rPr>
      <t xml:space="preserve"> FICA, unemployment, workers' compensation</t>
    </r>
  </si>
  <si>
    <r>
      <t xml:space="preserve">Group Insurance — </t>
    </r>
    <r>
      <rPr>
        <sz val="10"/>
        <rFont val="Arial Narrow"/>
        <family val="2"/>
      </rPr>
      <t>medical, hospitalization, etc.</t>
    </r>
  </si>
  <si>
    <r>
      <t xml:space="preserve">Utilities </t>
    </r>
    <r>
      <rPr>
        <sz val="10"/>
        <rFont val="Arial Narrow"/>
        <family val="2"/>
      </rPr>
      <t>(heat, light, power, water)</t>
    </r>
  </si>
  <si>
    <r>
      <t xml:space="preserve">Insurance — </t>
    </r>
    <r>
      <rPr>
        <sz val="10"/>
        <rFont val="Arial Narrow"/>
        <family val="2"/>
      </rPr>
      <t>business liability &amp; casualty; not real estate or group</t>
    </r>
  </si>
  <si>
    <r>
      <t>Other Income —</t>
    </r>
    <r>
      <rPr>
        <sz val="10"/>
        <rFont val="Arial Narrow"/>
        <family val="2"/>
      </rPr>
      <t xml:space="preserve"> interest income, gain on sale of assets, rental income, etc.</t>
    </r>
  </si>
  <si>
    <r>
      <t xml:space="preserve">Interest Expense — </t>
    </r>
    <r>
      <rPr>
        <sz val="10"/>
        <rFont val="Arial Narrow"/>
        <family val="2"/>
      </rPr>
      <t>excluding mortgage interest</t>
    </r>
  </si>
  <si>
    <r>
      <t xml:space="preserve">Other Non-Operating Expenses — </t>
    </r>
    <r>
      <rPr>
        <sz val="10"/>
        <rFont val="Arial Narrow"/>
        <family val="2"/>
      </rPr>
      <t>including extraordinary expenses</t>
    </r>
  </si>
  <si>
    <t>CDA</t>
  </si>
  <si>
    <t>Hershey Industry</t>
  </si>
  <si>
    <t>No one from CDA or its staff will have access to individual company data.</t>
  </si>
  <si>
    <t>The Hershey Company and the Convenience Distribution Association (CDA) continue to bring you the most comprehensive reports and analyses in our industry. The information in this study combines the familiar and important HIPA critical ratios with important benchmarking information. Combined, this is a powerful resource to help your business succeed.</t>
  </si>
  <si>
    <t>instead of answering questions 21 and 23 on this questionnaire.</t>
  </si>
  <si>
    <t>(Questions 1 – 16)</t>
  </si>
  <si>
    <t>Primary market area served</t>
  </si>
  <si>
    <t>1 = Major Urban Market — pop. 2,000,000+</t>
  </si>
  <si>
    <t>2 = Secondary Metropolitan Area — pop. 50,000 - 2,000,000</t>
  </si>
  <si>
    <t>3 = Rural Area — pop. less than 50,000</t>
  </si>
  <si>
    <t>Enter 1-3</t>
  </si>
  <si>
    <t>— report full-time equivalent employees</t>
  </si>
  <si>
    <t>Convert temps and part-time employees to FTEs based on a 40-hour work week.</t>
  </si>
  <si>
    <t>Sales Representatives</t>
  </si>
  <si>
    <t>Telemarketing Representatives</t>
  </si>
  <si>
    <t>— exempt</t>
  </si>
  <si>
    <t>Merchandisers</t>
  </si>
  <si>
    <t>Delivery/Driver Employees</t>
  </si>
  <si>
    <t>Executives/management staff</t>
  </si>
  <si>
    <t xml:space="preserve">Sales Management </t>
  </si>
  <si>
    <t>SqFt</t>
  </si>
  <si>
    <t>Number of warehouse locations</t>
  </si>
  <si>
    <t>— HQ plus branch locations</t>
  </si>
  <si>
    <t>— all locations</t>
  </si>
  <si>
    <r>
      <t xml:space="preserve">Warehouse </t>
    </r>
    <r>
      <rPr>
        <sz val="10"/>
        <color indexed="8"/>
        <rFont val="Arial"/>
        <family val="2"/>
      </rPr>
      <t>Square feet of space</t>
    </r>
  </si>
  <si>
    <t>Average number of orders shipped per month</t>
  </si>
  <si>
    <t>What percentage of your orders is transmitted from customers electronically?</t>
  </si>
  <si>
    <t>Is an electronic inventory management system offered to customers?</t>
  </si>
  <si>
    <r>
      <t xml:space="preserve">— </t>
    </r>
    <r>
      <rPr>
        <sz val="10"/>
        <rFont val="Arial Narrow"/>
        <family val="2"/>
      </rPr>
      <t>60 cartons per case</t>
    </r>
  </si>
  <si>
    <t>Average number of cases of cigarettes tax-stamped per month</t>
  </si>
  <si>
    <t>Number of active customers — 6 or more orders annually</t>
  </si>
  <si>
    <t>Sales in fair-trade states</t>
  </si>
  <si>
    <t>Fair-trade states</t>
  </si>
  <si>
    <t>Non fair-trade states</t>
  </si>
  <si>
    <t>Average excise tax per carton</t>
  </si>
  <si>
    <t>Number</t>
  </si>
  <si>
    <t>of SKUs</t>
  </si>
  <si>
    <t>Revenue</t>
  </si>
  <si>
    <t>Turns</t>
  </si>
  <si>
    <t>Cigarettes</t>
  </si>
  <si>
    <t>Tobacco &amp; Cigars</t>
  </si>
  <si>
    <t>Candy</t>
  </si>
  <si>
    <t>Foodservice</t>
  </si>
  <si>
    <t>Grocery — including snacks</t>
  </si>
  <si>
    <t>Health &amp; Beauty Care</t>
  </si>
  <si>
    <t>General Merchandise</t>
  </si>
  <si>
    <t>Dairy/Frozen</t>
  </si>
  <si>
    <t>Beverage</t>
  </si>
  <si>
    <t>Paper</t>
  </si>
  <si>
    <t>Automotive</t>
  </si>
  <si>
    <t xml:space="preserve">Total </t>
  </si>
  <si>
    <t>In addition to your distributorship, do you also operate retail stores?</t>
  </si>
  <si>
    <t>If yes, number of retail locations</t>
  </si>
  <si>
    <t>If yes, annual retail sales</t>
  </si>
  <si>
    <t>(Questions 17 – 21)</t>
  </si>
  <si>
    <t>— trade receivables, less allowance for bad debts</t>
  </si>
  <si>
    <t>= Cash + A/R + Inventory + Other Current Assets</t>
  </si>
  <si>
    <t>= Total Current Assets + Fixed Assets &amp; Noncurrent Assets</t>
  </si>
  <si>
    <t>— trade</t>
  </si>
  <si>
    <t>— including accruals, taxes, benefits, etc.</t>
  </si>
  <si>
    <t>— not due within one year</t>
  </si>
  <si>
    <t>— paid-in capital &amp; retained earnings</t>
  </si>
  <si>
    <t>Notes Payable, Line of Credit, Current Portion of Long-term Debt</t>
  </si>
  <si>
    <t>— due within one year</t>
  </si>
  <si>
    <r>
      <t xml:space="preserve">— </t>
    </r>
    <r>
      <rPr>
        <sz val="10"/>
        <rFont val="Arial Narrow"/>
        <family val="2"/>
      </rPr>
      <t>net of depreciation</t>
    </r>
  </si>
  <si>
    <t>Fixed Assets &amp; Noncurrent Assets</t>
  </si>
  <si>
    <t>EMP_Mdse</t>
  </si>
  <si>
    <t>NS_Cigarettes</t>
  </si>
  <si>
    <t>NS_Tobacco</t>
  </si>
  <si>
    <t>NS_Candy</t>
  </si>
  <si>
    <t>NS_Food</t>
  </si>
  <si>
    <t>NS_Grocery</t>
  </si>
  <si>
    <t>NS_HBC</t>
  </si>
  <si>
    <t>NS_GenlMdse</t>
  </si>
  <si>
    <t>NS_OPROD</t>
  </si>
  <si>
    <t>(Questions 22 - 23)</t>
  </si>
  <si>
    <t>22.</t>
  </si>
  <si>
    <t>23.</t>
  </si>
  <si>
    <r>
      <t>— l</t>
    </r>
    <r>
      <rPr>
        <sz val="10"/>
        <rFont val="Arial Narrow"/>
        <family val="2"/>
      </rPr>
      <t>ess returns, discounts, allowances; DO</t>
    </r>
    <r>
      <rPr>
        <b/>
        <sz val="10"/>
        <rFont val="Arial Narrow"/>
        <family val="2"/>
      </rPr>
      <t xml:space="preserve"> NOT INCLUDE </t>
    </r>
    <r>
      <rPr>
        <sz val="10"/>
        <rFont val="Arial Narrow"/>
        <family val="2"/>
      </rPr>
      <t>excise taxes</t>
    </r>
  </si>
  <si>
    <r>
      <t xml:space="preserve">minus purchase discounts, cash discounts and rebates; </t>
    </r>
    <r>
      <rPr>
        <b/>
        <sz val="10"/>
        <rFont val="Arial Narrow"/>
        <family val="2"/>
      </rPr>
      <t xml:space="preserve">DO NOT INCLUDE </t>
    </r>
    <r>
      <rPr>
        <sz val="10"/>
        <rFont val="Arial Narrow"/>
        <family val="2"/>
      </rPr>
      <t>excise taxes</t>
    </r>
  </si>
  <si>
    <r>
      <t xml:space="preserve">COGS = </t>
    </r>
    <r>
      <rPr>
        <sz val="10"/>
        <rFont val="Arial Narrow"/>
        <family val="2"/>
      </rPr>
      <t>product costs plus freight- in minus all promotional and program dollars</t>
    </r>
  </si>
  <si>
    <t>Sales / Marketing / Purchasing</t>
  </si>
  <si>
    <t>Sales Management Salaries &amp; Bonuses</t>
  </si>
  <si>
    <t>Account Representative/Supervisor Salaries, Commissions &amp; Incentives</t>
  </si>
  <si>
    <t>Key Account Manager Salaries, Commissions &amp; Incentives</t>
  </si>
  <si>
    <t>Retail Merchandisers/Specialists Salaries, Wages &amp; Bonuses</t>
  </si>
  <si>
    <t>Buyers/Assistants/Category Managers Salaries, Wages &amp; Bonuses</t>
  </si>
  <si>
    <t>Total Sales/Marketing/Purchasing Salaries, Commissions &amp; Bonuses</t>
  </si>
  <si>
    <t>Total Sales/Marketing/Purchasing Payroll Expenses</t>
  </si>
  <si>
    <t>Travel &amp; Entertainment</t>
  </si>
  <si>
    <t>Advertising &amp; Promotion</t>
  </si>
  <si>
    <t>Other Selling Expenses</t>
  </si>
  <si>
    <t>Total Sales/Marketing/Purchasing Expenses</t>
  </si>
  <si>
    <t>Distribution</t>
  </si>
  <si>
    <t>Warehouse Manager / Supervisor Salaries &amp; Bonuses</t>
  </si>
  <si>
    <t>Receiving / Putaway / Stocking Salaries, Wages</t>
  </si>
  <si>
    <t>Order Picking / Checking / Packing / Staging / Loading Salaries, Wages</t>
  </si>
  <si>
    <t>Delivery Salaries, Wages — including backhauling</t>
  </si>
  <si>
    <t>LOC</t>
  </si>
  <si>
    <t>Total Distribution Payroll Expenses</t>
  </si>
  <si>
    <t>Building Repairs &amp; Maintenance and Security Systems</t>
  </si>
  <si>
    <t>Freight Out</t>
  </si>
  <si>
    <r>
      <t>Other Distribution</t>
    </r>
    <r>
      <rPr>
        <b/>
        <sz val="10"/>
        <rFont val="Arial"/>
        <family val="2"/>
      </rPr>
      <t xml:space="preserve"> </t>
    </r>
    <r>
      <rPr>
        <sz val="10"/>
        <rFont val="Arial"/>
        <family val="2"/>
      </rPr>
      <t>Expenses</t>
    </r>
  </si>
  <si>
    <t>Total Distribution Expenses</t>
  </si>
  <si>
    <t>Finance / Administration</t>
  </si>
  <si>
    <t>Accounts Receivable Salaries, Wages</t>
  </si>
  <si>
    <t>Accounts Payable Salaries, Wages</t>
  </si>
  <si>
    <t>Computer/MIS Salaries, Wages</t>
  </si>
  <si>
    <t>Customer Service Salaries, Wages</t>
  </si>
  <si>
    <t>Telemarketing Salaries, Wages</t>
  </si>
  <si>
    <r>
      <t xml:space="preserve">Executive Salaries &amp; Bonuses — </t>
    </r>
    <r>
      <rPr>
        <sz val="10"/>
        <color indexed="8"/>
        <rFont val="Arial Narrow"/>
        <family val="2"/>
      </rPr>
      <t>Officers, Owners, Key Managers</t>
    </r>
  </si>
  <si>
    <t>Other Finance/Administrative Salaries, Wages</t>
  </si>
  <si>
    <t>Total Finance / Administration Payroll Expenses</t>
  </si>
  <si>
    <t>Total Distribution Salaries, Wages</t>
  </si>
  <si>
    <t>Total Finance / Administration Salaries, Wages &amp; Bonuses</t>
  </si>
  <si>
    <t>Admin. Personnel Payroll Taxes — FICA, unemployment, workers' compensation</t>
  </si>
  <si>
    <t>Admin. Personnel Group Insurance — medical, hospitalization, etc.</t>
  </si>
  <si>
    <t>Admin. Personnel Employee Benefits — pension, 401(k) &amp; benefits</t>
  </si>
  <si>
    <r>
      <t>Professional Fees —</t>
    </r>
    <r>
      <rPr>
        <sz val="10"/>
        <rFont val="Arial Narrow"/>
        <family val="2"/>
      </rPr>
      <t xml:space="preserve"> legal, accounting, etc.</t>
    </r>
  </si>
  <si>
    <r>
      <t xml:space="preserve">Information Systems — </t>
    </r>
    <r>
      <rPr>
        <sz val="10"/>
        <rFont val="Arial Narrow"/>
        <family val="2"/>
      </rPr>
      <t>computer equipment, depreciation, programming, software, supplies, etc.</t>
    </r>
  </si>
  <si>
    <t>All Other  Finance / Administration Expenses</t>
  </si>
  <si>
    <t>Total Finance / Administration Expenses</t>
  </si>
  <si>
    <t>NS_Dairy</t>
  </si>
  <si>
    <t>NS_Beverage</t>
  </si>
  <si>
    <t>NS_Paper</t>
  </si>
  <si>
    <t>NS_Auto</t>
  </si>
  <si>
    <t>PA_Mdse</t>
  </si>
  <si>
    <t>PA_Recv</t>
  </si>
  <si>
    <t>PA_AR</t>
  </si>
  <si>
    <t>TRVL</t>
  </si>
  <si>
    <t>OSELL</t>
  </si>
  <si>
    <t>SLS_EXP</t>
  </si>
  <si>
    <t>Sal_Sls</t>
  </si>
  <si>
    <t>PT_Sls</t>
  </si>
  <si>
    <t>Grp_Ins_Sls</t>
  </si>
  <si>
    <t>BENE_Sls</t>
  </si>
  <si>
    <t>PA_Sls</t>
  </si>
  <si>
    <t>PA_Pick</t>
  </si>
  <si>
    <t>Sal_Dist</t>
  </si>
  <si>
    <t>PT_Dist</t>
  </si>
  <si>
    <t>Grp_Ins_Dist</t>
  </si>
  <si>
    <t>BENE_Dist</t>
  </si>
  <si>
    <t>PA_Dist</t>
  </si>
  <si>
    <t>VEH_Del</t>
  </si>
  <si>
    <t>FO</t>
  </si>
  <si>
    <t>ODIST</t>
  </si>
  <si>
    <t>DIST_EXP</t>
  </si>
  <si>
    <t>PA_AP</t>
  </si>
  <si>
    <t>PA_CustSvc</t>
  </si>
  <si>
    <t>PA_Tele</t>
  </si>
  <si>
    <t>PT_Admin</t>
  </si>
  <si>
    <t>Grp_Ins_Admin</t>
  </si>
  <si>
    <t>BENE_Admin</t>
  </si>
  <si>
    <t>PA_Admin</t>
  </si>
  <si>
    <t>Sal_Admin</t>
  </si>
  <si>
    <t>ProfFees</t>
  </si>
  <si>
    <t>Admin_EXP</t>
  </si>
  <si>
    <t>Market</t>
  </si>
  <si>
    <t>ElecInv</t>
  </si>
  <si>
    <t>TaxStamped</t>
  </si>
  <si>
    <t>FairTrade</t>
  </si>
  <si>
    <t>NonFair</t>
  </si>
  <si>
    <t>Retail</t>
  </si>
  <si>
    <t>LOC_Retail</t>
  </si>
  <si>
    <t>NS_Retail</t>
  </si>
  <si>
    <t>SKU_Cigarettes</t>
  </si>
  <si>
    <t>SKU_Tobacco</t>
  </si>
  <si>
    <t>SKU_Candy</t>
  </si>
  <si>
    <t>SKU_Food</t>
  </si>
  <si>
    <t>SKU_Grocery</t>
  </si>
  <si>
    <t>SKU_HBC</t>
  </si>
  <si>
    <t>SKU_GenlMdse</t>
  </si>
  <si>
    <t>SKU_Dairy</t>
  </si>
  <si>
    <t>SKU_Beverage</t>
  </si>
  <si>
    <t>SKU_Paper</t>
  </si>
  <si>
    <t>SKU_Auto</t>
  </si>
  <si>
    <t>SKU_OPROD</t>
  </si>
  <si>
    <t>Turn_Cigarettes</t>
  </si>
  <si>
    <t>Turn_Tobacco</t>
  </si>
  <si>
    <t>Turn_Candy</t>
  </si>
  <si>
    <t>Turn_Food</t>
  </si>
  <si>
    <t>Turn_Grocery</t>
  </si>
  <si>
    <t>Turn_HBC</t>
  </si>
  <si>
    <t>Turn_GenlMdse</t>
  </si>
  <si>
    <t>Turn_Dairy</t>
  </si>
  <si>
    <t>Turn_Beverage</t>
  </si>
  <si>
    <t>Turn_Paper</t>
  </si>
  <si>
    <t>Turn_Auto</t>
  </si>
  <si>
    <t>Turn_OPROD</t>
  </si>
  <si>
    <t>Turns per Product Category</t>
  </si>
  <si>
    <t>Sales $ per Product Category</t>
  </si>
  <si>
    <t>Sales Personnel Payroll Taxes</t>
  </si>
  <si>
    <t>Sales Personnel Group Insurance</t>
  </si>
  <si>
    <t>Sales Personnel Employee Benefits</t>
  </si>
  <si>
    <t>Sales Vehicle</t>
  </si>
  <si>
    <t>Distribution Personnel Payroll Taxes</t>
  </si>
  <si>
    <t>Distribution Personnel Group Insurance</t>
  </si>
  <si>
    <t>Distribution Personnel Employee Benefits</t>
  </si>
  <si>
    <t>Delivery Vehicle</t>
  </si>
  <si>
    <t>Rent or Real Estate Ownership</t>
  </si>
  <si>
    <t>GM</t>
  </si>
  <si>
    <t>Sales by product category</t>
  </si>
  <si>
    <t>Inventory Turns by category</t>
  </si>
  <si>
    <t>Total SKUs</t>
  </si>
  <si>
    <t>Overall Inventory Turnover</t>
  </si>
  <si>
    <t>Warehouse locations</t>
  </si>
  <si>
    <t>Sales per location</t>
  </si>
  <si>
    <t>Square Feet of warehouse space</t>
  </si>
  <si>
    <t>Sales per square foot</t>
  </si>
  <si>
    <t>Orders received electronically</t>
  </si>
  <si>
    <t>Offer customers electronic inventory mgmt.</t>
  </si>
  <si>
    <t>Cigarette Sales</t>
  </si>
  <si>
    <t>Cases tax-stamped per month</t>
  </si>
  <si>
    <t>Sales per case</t>
  </si>
  <si>
    <t>Excise tax per carton</t>
  </si>
  <si>
    <t>Excise Tax</t>
  </si>
  <si>
    <t>Fair Trade</t>
  </si>
  <si>
    <t>Sales in non fair-trade states</t>
  </si>
  <si>
    <t>Retail Operations</t>
  </si>
  <si>
    <t>Operate retail stores</t>
  </si>
  <si>
    <t>Number of stores</t>
  </si>
  <si>
    <t>Sales per store</t>
  </si>
  <si>
    <t>Employee Benefits</t>
  </si>
  <si>
    <r>
      <t>Employee Benefits —</t>
    </r>
    <r>
      <rPr>
        <sz val="10"/>
        <rFont val="Arial Narrow"/>
        <family val="2"/>
      </rPr>
      <t xml:space="preserve"> pension, 401(k) &amp; benefits not mandated by the govt.</t>
    </r>
  </si>
  <si>
    <t>Sales per Sales Rep</t>
  </si>
  <si>
    <t>Personnel Productivity Ratio</t>
  </si>
  <si>
    <t>Summary Income Statement (% of Net Sales)</t>
  </si>
  <si>
    <t>Sales Salaries, Commissions &amp; Bonuses</t>
  </si>
  <si>
    <t>Total Sales Payroll Expenses</t>
  </si>
  <si>
    <t>Warehouse Salaries, Wages</t>
  </si>
  <si>
    <t>Other Non-Operating Expenses</t>
  </si>
  <si>
    <t>Calc for departmental PT / Grp_Ins / BENE if only have total</t>
  </si>
  <si>
    <t>Summary Expense Detail (% of Gross Profit)</t>
  </si>
  <si>
    <t>Report Contact</t>
  </si>
  <si>
    <t>Report Email</t>
  </si>
  <si>
    <t>Data Contact</t>
  </si>
  <si>
    <t>Data Email</t>
  </si>
  <si>
    <t>Zip</t>
  </si>
  <si>
    <t>Purchasing</t>
  </si>
  <si>
    <t>Marketing</t>
  </si>
  <si>
    <t>Accounting Department — AR, AP, Credit</t>
  </si>
  <si>
    <t>I.T. — data processing, e-commerce</t>
  </si>
  <si>
    <t>HR — payroll, benefits, people development/training</t>
  </si>
  <si>
    <t>Other Administrative/Clerical employees</t>
  </si>
  <si>
    <t>EMP_Pur</t>
  </si>
  <si>
    <t>EMP_Mktg</t>
  </si>
  <si>
    <t>EMP_Acctg</t>
  </si>
  <si>
    <t>EMP_HR</t>
  </si>
  <si>
    <t>EMP_IT</t>
  </si>
  <si>
    <t>4a.</t>
  </si>
  <si>
    <r>
      <t xml:space="preserve">Cold-Temp </t>
    </r>
    <r>
      <rPr>
        <sz val="10"/>
        <color indexed="8"/>
        <rFont val="Arial"/>
        <family val="2"/>
      </rPr>
      <t>Square feet of space</t>
    </r>
  </si>
  <si>
    <t>SqFt_Cold</t>
  </si>
  <si>
    <t>&lt;= New question</t>
  </si>
  <si>
    <t>&lt;= Moved from row 49</t>
  </si>
  <si>
    <t>Case Beverages</t>
  </si>
  <si>
    <t>Paper &amp; Supplies</t>
  </si>
  <si>
    <t>All other products/services</t>
  </si>
  <si>
    <t>Foodservice Dry</t>
  </si>
  <si>
    <t>Frozen — including foodservice, pastries, etc.</t>
  </si>
  <si>
    <t>Refrigerated — deli, dairy, produce, etc.</t>
  </si>
  <si>
    <t>NS_Frozen</t>
  </si>
  <si>
    <t>Turn_Frozen</t>
  </si>
  <si>
    <t>&lt;= Moved from row 47</t>
  </si>
  <si>
    <t>SKU_Frozen</t>
  </si>
  <si>
    <t>&lt;= New category</t>
  </si>
  <si>
    <t>Dairy</t>
  </si>
  <si>
    <t>Sales/Marketing/Purchasing Salaries, Commissions &amp; Bonuses</t>
  </si>
  <si>
    <t>Transportation/Delivery Salaries, Wages</t>
  </si>
  <si>
    <t>Warehouse Employee Wages, Salaries &amp; Bonuses</t>
  </si>
  <si>
    <t>All Other Employees, Admin./Clerical &amp; other employees not included above</t>
  </si>
  <si>
    <t>— include gas, oil, repairs &amp; maintenance, insurance, depreciation, leasing, etc.</t>
  </si>
  <si>
    <t>— Rent, building repairs &amp; maintenance, utilities, telephone</t>
  </si>
  <si>
    <t>— Advertising, Vehicle, Depreciation, Bad Debt Losses, etc.</t>
  </si>
  <si>
    <t>Other Operating Expenese</t>
  </si>
  <si>
    <t>&lt;= New Emp categories in 2020</t>
  </si>
  <si>
    <t>Frozen</t>
  </si>
  <si>
    <t>Refrigerated — deli, dairy, produce</t>
  </si>
  <si>
    <t>All Other Employees, Admin./Clerical</t>
  </si>
  <si>
    <t xml:space="preserve">Employee Benefits </t>
  </si>
  <si>
    <t xml:space="preserve">Group Insurance </t>
  </si>
  <si>
    <t xml:space="preserve">Depreciation </t>
  </si>
  <si>
    <t>Executive Salaries &amp; Bonuses</t>
  </si>
  <si>
    <t>Cold-Temp % of Warehouse</t>
  </si>
  <si>
    <t>&lt;= New in 2021</t>
  </si>
  <si>
    <t>&lt;= Delete in 2021</t>
  </si>
  <si>
    <t>surveys@benchmarkinganalytics.com</t>
  </si>
  <si>
    <t>Performance Analysis (HIPA) Survey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</si>
</sst>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quot;$&quot;* #,##0.00_);_(&quot;$&quot;* \(#,##0.00\);_(&quot;$&quot;* &quot;-&quot;??_);_(@_)"/>
    <numFmt numFmtId="43" formatCode="_(* #,##0.00_);_(* \(#,##0.00\);_(* &quot;-&quot;??_);_(@_)"/>
    <numFmt numFmtId="164" formatCode="#,##0.0"/>
    <numFmt numFmtId="165" formatCode="0.0"/>
    <numFmt numFmtId="166" formatCode="mmmm\ d\,\ yyyy"/>
    <numFmt numFmtId="167" formatCode="0.0%"/>
    <numFmt numFmtId="168" formatCode="&quot;$&quot;#,##0"/>
    <numFmt numFmtId="169" formatCode="00000"/>
    <numFmt numFmtId="170" formatCode="[&lt;=9999999]###\-####;\(###\)\ ###\-####"/>
    <numFmt numFmtId="171" formatCode="&quot;$&quot;#,##0.00"/>
    <numFmt numFmtId="172" formatCode="&quot;$&quot;#,##0.0"/>
    <numFmt numFmtId="173" formatCode="_(* #,##0_);_(* \(#,##0\);_(* &quot;-&quot;??_);_(@_)"/>
    <numFmt numFmtId="174" formatCode="General_)"/>
    <numFmt numFmtId="175" formatCode="[h]:mm"/>
    <numFmt numFmtId="176" formatCode="&quot;$&quot;#,##0;[Red]\-&quot;$&quot;#,##0"/>
    <numFmt numFmtId="177" formatCode="#,##0.00\ &quot;Pts&quot;;[Red]\-#,##0.00\ &quot;Pts&quot;"/>
    <numFmt numFmtId="178" formatCode="#,##0.00&quot; $&quot;;\-#,##0.00&quot; $&quot;"/>
    <numFmt numFmtId="179" formatCode="#,##0.0000000"/>
    <numFmt numFmtId="180" formatCode="###,000"/>
  </numFmts>
  <fonts count="102">
    <font>
      <sz val="10"/>
      <name val="Arial"/>
    </font>
    <font>
      <sz val="10"/>
      <name val="Arial"/>
    </font>
    <font>
      <b/>
      <sz val="12"/>
      <name val="Arial"/>
      <family val="2"/>
    </font>
    <font>
      <b/>
      <sz val="10"/>
      <name val="Arial"/>
      <family val="2"/>
    </font>
    <font>
      <b/>
      <u/>
      <sz val="10"/>
      <name val="Arial"/>
      <family val="2"/>
    </font>
    <font>
      <sz val="10"/>
      <name val="Arial"/>
      <family val="2"/>
    </font>
    <font>
      <sz val="8"/>
      <name val="Arial"/>
      <family val="2"/>
    </font>
    <font>
      <sz val="11"/>
      <name val="Arial"/>
      <family val="2"/>
    </font>
    <font>
      <u/>
      <sz val="10"/>
      <color indexed="12"/>
      <name val="Arial"/>
      <family val="2"/>
    </font>
    <font>
      <b/>
      <sz val="14"/>
      <name val="Arial"/>
      <family val="2"/>
    </font>
    <font>
      <u/>
      <sz val="10"/>
      <name val="Arial"/>
      <family val="2"/>
    </font>
    <font>
      <sz val="9"/>
      <name val="Arial"/>
      <family val="2"/>
    </font>
    <font>
      <b/>
      <sz val="11"/>
      <name val="Arial"/>
      <family val="2"/>
    </font>
    <font>
      <b/>
      <u/>
      <sz val="11"/>
      <name val="Arial"/>
      <family val="2"/>
    </font>
    <font>
      <sz val="14"/>
      <name val="Arial"/>
      <family val="2"/>
    </font>
    <font>
      <u/>
      <sz val="11"/>
      <name val="Arial"/>
      <family val="2"/>
    </font>
    <font>
      <sz val="9"/>
      <name val="Arial"/>
      <family val="2"/>
    </font>
    <font>
      <sz val="11"/>
      <name val="Arial"/>
      <family val="2"/>
    </font>
    <font>
      <u/>
      <sz val="11"/>
      <color indexed="12"/>
      <name val="Arial"/>
      <family val="2"/>
    </font>
    <font>
      <b/>
      <sz val="10"/>
      <name val="Arial Narrow"/>
      <family val="2"/>
    </font>
    <font>
      <sz val="10"/>
      <name val="Arial Narrow"/>
      <family val="2"/>
    </font>
    <font>
      <sz val="11"/>
      <name val="Arial Narrow"/>
      <family val="2"/>
    </font>
    <font>
      <sz val="9"/>
      <name val="Arial Narrow"/>
      <family val="2"/>
    </font>
    <font>
      <b/>
      <sz val="14"/>
      <name val="Arial Black"/>
      <family val="2"/>
    </font>
    <font>
      <u/>
      <sz val="11"/>
      <color indexed="12"/>
      <name val="Arial"/>
      <family val="2"/>
    </font>
    <font>
      <u/>
      <sz val="10"/>
      <color indexed="12"/>
      <name val="Arial"/>
      <family val="2"/>
    </font>
    <font>
      <b/>
      <sz val="11"/>
      <name val="Arial Narrow"/>
      <family val="2"/>
    </font>
    <font>
      <u/>
      <sz val="11"/>
      <name val="Arial Narrow"/>
      <family val="2"/>
    </font>
    <font>
      <sz val="14"/>
      <name val="Arial Black"/>
      <family val="2"/>
    </font>
    <font>
      <sz val="12"/>
      <name val="Arial Black"/>
      <family val="2"/>
    </font>
    <font>
      <sz val="12"/>
      <name val="Arial"/>
      <family val="2"/>
    </font>
    <font>
      <u/>
      <sz val="10"/>
      <name val="Arial Narrow"/>
      <family val="2"/>
    </font>
    <font>
      <sz val="10"/>
      <color indexed="8"/>
      <name val="Arial"/>
      <family val="2"/>
    </font>
    <font>
      <b/>
      <sz val="12"/>
      <name val="Arial Black"/>
      <family val="2"/>
    </font>
    <font>
      <b/>
      <sz val="14"/>
      <name val="Verdana"/>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i/>
      <sz val="11"/>
      <color indexed="23"/>
      <name val="Calibri"/>
      <family val="2"/>
    </font>
    <font>
      <sz val="11"/>
      <color indexed="17"/>
      <name val="Calibri"/>
      <family val="2"/>
    </font>
    <font>
      <b/>
      <sz val="15"/>
      <color indexed="60"/>
      <name val="Calibri"/>
      <family val="2"/>
    </font>
    <font>
      <b/>
      <sz val="13"/>
      <color indexed="60"/>
      <name val="Calibri"/>
      <family val="2"/>
    </font>
    <font>
      <b/>
      <sz val="11"/>
      <color indexed="60"/>
      <name val="Calibri"/>
      <family val="2"/>
    </font>
    <font>
      <sz val="11"/>
      <color indexed="62"/>
      <name val="Calibri"/>
      <family val="2"/>
    </font>
    <font>
      <sz val="11"/>
      <color indexed="10"/>
      <name val="Calibri"/>
      <family val="2"/>
    </font>
    <font>
      <sz val="11"/>
      <color indexed="19"/>
      <name val="Calibri"/>
      <family val="2"/>
    </font>
    <font>
      <b/>
      <sz val="11"/>
      <color indexed="63"/>
      <name val="Calibri"/>
      <family val="2"/>
    </font>
    <font>
      <b/>
      <sz val="18"/>
      <color indexed="60"/>
      <name val="Cambria"/>
      <family val="2"/>
    </font>
    <font>
      <b/>
      <sz val="11"/>
      <color indexed="8"/>
      <name val="Calibri"/>
      <family val="2"/>
    </font>
    <font>
      <sz val="10"/>
      <color indexed="12"/>
      <name val="Arial"/>
      <family val="2"/>
    </font>
    <font>
      <sz val="9"/>
      <name val="Helvetica"/>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2"/>
      <name val="Courier"/>
      <family val="3"/>
    </font>
    <font>
      <sz val="11"/>
      <name val="??"/>
      <family val="3"/>
      <charset val="129"/>
    </font>
    <font>
      <b/>
      <u/>
      <sz val="11"/>
      <color indexed="37"/>
      <name val="Arial"/>
      <family val="2"/>
    </font>
    <font>
      <sz val="7"/>
      <name val="Small Fonts"/>
      <family val="2"/>
    </font>
    <font>
      <sz val="8"/>
      <color indexed="12"/>
      <name val="Arial"/>
      <family val="2"/>
    </font>
    <font>
      <sz val="10"/>
      <name val="Arial"/>
      <family val="2"/>
    </font>
    <font>
      <u/>
      <sz val="10"/>
      <color indexed="12"/>
      <name val="Arial"/>
      <family val="2"/>
    </font>
    <font>
      <sz val="10"/>
      <name val="Arial"/>
      <family val="2"/>
    </font>
    <font>
      <sz val="10"/>
      <name val="Arial"/>
      <family val="2"/>
    </font>
    <font>
      <u/>
      <sz val="10"/>
      <color indexed="12"/>
      <name val="Arial"/>
      <family val="2"/>
    </font>
    <font>
      <sz val="11"/>
      <color indexed="8"/>
      <name val="Calibri"/>
      <family val="2"/>
    </font>
    <font>
      <sz val="10"/>
      <color indexed="10"/>
      <name val="Arial"/>
      <family val="2"/>
    </font>
    <font>
      <sz val="10"/>
      <color indexed="8"/>
      <name val="Arial"/>
      <family val="2"/>
    </font>
    <font>
      <sz val="11"/>
      <name val="Calibri"/>
      <family val="2"/>
    </font>
    <font>
      <b/>
      <sz val="10"/>
      <color indexed="10"/>
      <name val="Arial"/>
      <family val="2"/>
    </font>
    <font>
      <sz val="8"/>
      <color indexed="8"/>
      <name val="Arial"/>
      <family val="2"/>
    </font>
    <font>
      <sz val="8"/>
      <color indexed="8"/>
      <name val="Verdana"/>
      <family val="2"/>
    </font>
    <font>
      <b/>
      <sz val="8"/>
      <color indexed="8"/>
      <name val="Verdana"/>
      <family val="2"/>
    </font>
    <font>
      <i/>
      <sz val="8"/>
      <color indexed="8"/>
      <name val="Verdana"/>
      <family val="2"/>
    </font>
    <font>
      <b/>
      <i/>
      <sz val="8"/>
      <color indexed="8"/>
      <name val="Verdana"/>
      <family val="2"/>
    </font>
    <font>
      <b/>
      <sz val="8"/>
      <color indexed="11"/>
      <name val="Verdana"/>
      <family val="2"/>
    </font>
    <font>
      <b/>
      <sz val="8"/>
      <color indexed="13"/>
      <name val="Verdana"/>
      <family val="2"/>
    </font>
    <font>
      <b/>
      <sz val="8"/>
      <color indexed="10"/>
      <name val="Verdana"/>
      <family val="2"/>
    </font>
    <font>
      <sz val="10"/>
      <color indexed="9"/>
      <name val="Arial Black"/>
      <family val="2"/>
    </font>
    <font>
      <u/>
      <sz val="10"/>
      <color indexed="12"/>
      <name val="Arial Narrow"/>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b/>
      <u/>
      <sz val="10"/>
      <color indexed="8"/>
      <name val="Arial"/>
      <family val="2"/>
    </font>
    <font>
      <b/>
      <sz val="10"/>
      <color indexed="8"/>
      <name val="Arial"/>
      <family val="2"/>
    </font>
    <font>
      <sz val="10"/>
      <color indexed="8"/>
      <name val="Arial Narrow"/>
      <family val="2"/>
    </font>
    <font>
      <sz val="11"/>
      <color theme="1"/>
      <name val="Calibri"/>
      <family val="2"/>
      <scheme val="minor"/>
    </font>
    <font>
      <u/>
      <sz val="10"/>
      <color theme="10"/>
      <name val="Arial"/>
      <family val="2"/>
    </font>
    <font>
      <b/>
      <sz val="10"/>
      <color theme="0"/>
      <name val="Arial"/>
      <family val="2"/>
    </font>
    <font>
      <sz val="10"/>
      <color theme="1"/>
      <name val="Arial"/>
      <family val="2"/>
    </font>
    <font>
      <b/>
      <sz val="10"/>
      <color theme="1"/>
      <name val="Arial"/>
      <family val="2"/>
    </font>
    <font>
      <b/>
      <sz val="14"/>
      <color theme="0"/>
      <name val="Arial Black"/>
      <family val="2"/>
    </font>
    <font>
      <b/>
      <sz val="11"/>
      <color theme="0"/>
      <name val="Arial"/>
      <family val="2"/>
    </font>
    <font>
      <sz val="10"/>
      <color theme="0"/>
      <name val="Arial"/>
      <family val="2"/>
    </font>
    <font>
      <b/>
      <sz val="14"/>
      <color theme="0"/>
      <name val="Arial"/>
      <family val="2"/>
    </font>
  </fonts>
  <fills count="53">
    <fill>
      <patternFill patternType="none"/>
    </fill>
    <fill>
      <patternFill patternType="gray125"/>
    </fill>
    <fill>
      <patternFill patternType="solid">
        <fgColor indexed="47"/>
      </patternFill>
    </fill>
    <fill>
      <patternFill patternType="solid">
        <fgColor indexed="29"/>
      </patternFill>
    </fill>
    <fill>
      <patternFill patternType="solid">
        <fgColor indexed="26"/>
      </patternFill>
    </fill>
    <fill>
      <patternFill patternType="solid">
        <fgColor indexed="45"/>
      </patternFill>
    </fill>
    <fill>
      <patternFill patternType="solid">
        <fgColor indexed="31"/>
      </patternFill>
    </fill>
    <fill>
      <patternFill patternType="solid">
        <fgColor indexed="42"/>
      </patternFill>
    </fill>
    <fill>
      <patternFill patternType="solid">
        <fgColor indexed="46"/>
      </patternFill>
    </fill>
    <fill>
      <patternFill patternType="solid">
        <fgColor indexed="27"/>
      </patternFill>
    </fill>
    <fill>
      <patternFill patternType="solid">
        <fgColor indexed="51"/>
      </patternFill>
    </fill>
    <fill>
      <patternFill patternType="solid">
        <fgColor indexed="43"/>
      </patternFill>
    </fill>
    <fill>
      <patternFill patternType="solid">
        <fgColor indexed="22"/>
      </patternFill>
    </fill>
    <fill>
      <patternFill patternType="solid">
        <fgColor indexed="44"/>
      </patternFill>
    </fill>
    <fill>
      <patternFill patternType="solid">
        <fgColor indexed="1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4"/>
        <bgColor indexed="64"/>
      </patternFill>
    </fill>
    <fill>
      <patternFill patternType="solid">
        <fgColor indexed="9"/>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26"/>
        <bgColor indexed="9"/>
      </patternFill>
    </fill>
    <fill>
      <patternFill patternType="solid">
        <fgColor indexed="45"/>
        <bgColor indexed="64"/>
      </patternFill>
    </fill>
    <fill>
      <patternFill patternType="solid">
        <fgColor indexed="9"/>
        <bgColor indexed="8"/>
      </patternFill>
    </fill>
    <fill>
      <patternFill patternType="solid">
        <fgColor indexed="47"/>
        <bgColor indexed="8"/>
      </patternFill>
    </fill>
    <fill>
      <patternFill patternType="solid">
        <fgColor indexed="49"/>
        <bgColor indexed="8"/>
      </patternFill>
    </fill>
    <fill>
      <patternFill patternType="solid">
        <fgColor indexed="42"/>
        <bgColor indexed="8"/>
      </patternFill>
    </fill>
    <fill>
      <patternFill patternType="solid">
        <fgColor indexed="26"/>
        <bgColor indexed="8"/>
      </patternFill>
    </fill>
    <fill>
      <patternFill patternType="solid">
        <fgColor indexed="43"/>
        <bgColor indexed="8"/>
      </patternFill>
    </fill>
    <fill>
      <patternFill patternType="solid">
        <fgColor indexed="29"/>
        <bgColor indexed="8"/>
      </patternFill>
    </fill>
    <fill>
      <patternFill patternType="solid">
        <fgColor indexed="46"/>
        <bgColor indexed="8"/>
      </patternFill>
    </fill>
    <fill>
      <patternFill patternType="solid">
        <fgColor indexed="51"/>
        <bgColor indexed="8"/>
      </patternFill>
    </fill>
    <fill>
      <patternFill patternType="solid">
        <fgColor indexed="43"/>
        <bgColor indexed="64"/>
      </patternFill>
    </fill>
    <fill>
      <patternFill patternType="solid">
        <fgColor indexed="42"/>
        <bgColor indexed="64"/>
      </patternFill>
    </fill>
    <fill>
      <patternFill patternType="solid">
        <fgColor indexed="13"/>
        <bgColor indexed="64"/>
      </patternFill>
    </fill>
    <fill>
      <patternFill patternType="solid">
        <fgColor indexed="40"/>
        <bgColor indexed="64"/>
      </patternFill>
    </fill>
    <fill>
      <patternFill patternType="solid">
        <fgColor indexed="51"/>
        <bgColor indexed="64"/>
      </patternFill>
    </fill>
    <fill>
      <patternFill patternType="solid">
        <fgColor indexed="29"/>
        <bgColor indexed="64"/>
      </patternFill>
    </fill>
    <fill>
      <patternFill patternType="solid">
        <fgColor indexed="30"/>
        <bgColor indexed="64"/>
      </patternFill>
    </fill>
    <fill>
      <patternFill patternType="solid">
        <fgColor theme="3" tint="0.3999450666829432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3" tint="0.39997558519241921"/>
        <bgColor indexed="64"/>
      </patternFill>
    </fill>
    <fill>
      <patternFill patternType="solid">
        <fgColor theme="3" tint="0.59999389629810485"/>
        <bgColor indexed="64"/>
      </patternFill>
    </fill>
  </fills>
  <borders count="56">
    <border>
      <left/>
      <right/>
      <top/>
      <bottom/>
      <diagonal/>
    </border>
    <border>
      <left style="double">
        <color indexed="64"/>
      </left>
      <right/>
      <top/>
      <bottom style="hair">
        <color indexed="64"/>
      </bottom>
      <diagonal/>
    </border>
    <border>
      <left style="thin">
        <color indexed="23"/>
      </left>
      <right style="thin">
        <color indexed="23"/>
      </right>
      <top style="thin">
        <color indexed="23"/>
      </top>
      <bottom style="thin">
        <color indexed="23"/>
      </bottom>
      <diagonal/>
    </border>
    <border>
      <left/>
      <right/>
      <top/>
      <bottom style="double">
        <color indexed="10"/>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52"/>
      </bottom>
      <diagonal/>
    </border>
    <border>
      <left/>
      <right/>
      <top/>
      <bottom style="thick">
        <color indexed="62"/>
      </bottom>
      <diagonal/>
    </border>
    <border>
      <left/>
      <right/>
      <top/>
      <bottom style="thick">
        <color indexed="51"/>
      </bottom>
      <diagonal/>
    </border>
    <border>
      <left/>
      <right/>
      <top/>
      <bottom style="thick">
        <color indexed="22"/>
      </bottom>
      <diagonal/>
    </border>
    <border>
      <left/>
      <right/>
      <top/>
      <bottom style="medium">
        <color indexed="51"/>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0"/>
      </left>
      <right style="thin">
        <color indexed="60"/>
      </right>
      <top style="thin">
        <color indexed="60"/>
      </top>
      <bottom style="thin">
        <color indexed="60"/>
      </bottom>
      <diagonal/>
    </border>
    <border>
      <left style="hair">
        <color indexed="22"/>
      </left>
      <right style="hair">
        <color indexed="22"/>
      </right>
      <top style="hair">
        <color indexed="22"/>
      </top>
      <bottom style="hair">
        <color indexed="22"/>
      </bottom>
      <diagonal/>
    </border>
    <border>
      <left style="hair">
        <color indexed="23"/>
      </left>
      <right style="hair">
        <color indexed="23"/>
      </right>
      <top style="hair">
        <color indexed="23"/>
      </top>
      <bottom style="hair">
        <color indexed="23"/>
      </bottom>
      <diagonal/>
    </border>
    <border>
      <left style="thin">
        <color indexed="8"/>
      </left>
      <right style="thin">
        <color indexed="8"/>
      </right>
      <top style="thin">
        <color indexed="8"/>
      </top>
      <bottom style="thin">
        <color indexed="8"/>
      </bottom>
      <diagonal/>
    </border>
    <border>
      <left style="hair">
        <color indexed="22"/>
      </left>
      <right style="hair">
        <color indexed="22"/>
      </right>
      <top style="thin">
        <color indexed="23"/>
      </top>
      <bottom style="thin">
        <color indexed="23"/>
      </bottom>
      <diagonal/>
    </border>
    <border>
      <left/>
      <right/>
      <top style="thin">
        <color indexed="52"/>
      </top>
      <bottom style="double">
        <color indexed="52"/>
      </bottom>
      <diagonal/>
    </border>
    <border>
      <left/>
      <right/>
      <top style="thin">
        <color indexed="62"/>
      </top>
      <bottom style="double">
        <color indexed="62"/>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dotted">
        <color indexed="64"/>
      </bottom>
      <diagonal/>
    </border>
    <border>
      <left/>
      <right/>
      <top style="dotted">
        <color indexed="64"/>
      </top>
      <bottom/>
      <diagonal/>
    </border>
    <border>
      <left/>
      <right style="thin">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right/>
      <top style="dotted">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style="thick">
        <color indexed="64"/>
      </left>
      <right style="thick">
        <color indexed="64"/>
      </right>
      <top style="thick">
        <color indexed="64"/>
      </top>
      <bottom style="thick">
        <color indexed="64"/>
      </bottom>
      <diagonal/>
    </border>
    <border>
      <left/>
      <right/>
      <top/>
      <bottom style="thin">
        <color indexed="64"/>
      </bottom>
      <diagonal/>
    </border>
    <border>
      <left/>
      <right/>
      <top style="thin">
        <color indexed="64"/>
      </top>
      <bottom/>
      <diagonal/>
    </border>
    <border>
      <left/>
      <right style="thin">
        <color indexed="64"/>
      </right>
      <top style="dotted">
        <color indexed="64"/>
      </top>
      <bottom style="hair">
        <color indexed="64"/>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33">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2" borderId="0" applyNumberFormat="0" applyBorder="0" applyAlignment="0" applyProtection="0"/>
    <xf numFmtId="0" fontId="36" fillId="4" borderId="0" applyNumberFormat="0" applyBorder="0" applyAlignment="0" applyProtection="0"/>
    <xf numFmtId="0" fontId="36" fillId="2" borderId="0" applyNumberFormat="0" applyBorder="0" applyAlignment="0" applyProtection="0"/>
    <xf numFmtId="0" fontId="36" fillId="6" borderId="0" applyNumberFormat="0" applyBorder="0" applyAlignment="0" applyProtection="0"/>
    <xf numFmtId="0" fontId="36" fillId="3" borderId="0" applyNumberFormat="0" applyBorder="0" applyAlignment="0" applyProtection="0"/>
    <xf numFmtId="0" fontId="36" fillId="5" borderId="0" applyNumberFormat="0" applyBorder="0" applyAlignment="0" applyProtection="0"/>
    <xf numFmtId="0" fontId="36" fillId="4" borderId="0" applyNumberFormat="0" applyBorder="0" applyAlignment="0" applyProtection="0"/>
    <xf numFmtId="0" fontId="36" fillId="7" borderId="0" applyNumberFormat="0" applyBorder="0" applyAlignment="0" applyProtection="0"/>
    <xf numFmtId="0" fontId="36" fillId="5" borderId="0" applyNumberFormat="0" applyBorder="0" applyAlignment="0" applyProtection="0"/>
    <xf numFmtId="0" fontId="36" fillId="8" borderId="0" applyNumberFormat="0" applyBorder="0" applyAlignment="0" applyProtection="0"/>
    <xf numFmtId="0" fontId="36" fillId="2" borderId="0" applyNumberFormat="0" applyBorder="0" applyAlignment="0" applyProtection="0"/>
    <xf numFmtId="0" fontId="36" fillId="9" borderId="0" applyNumberFormat="0" applyBorder="0" applyAlignment="0" applyProtection="0"/>
    <xf numFmtId="0" fontId="36" fillId="4" borderId="0" applyNumberFormat="0" applyBorder="0" applyAlignment="0" applyProtection="0"/>
    <xf numFmtId="0" fontId="36" fillId="2" borderId="0" applyNumberFormat="0" applyBorder="0" applyAlignment="0" applyProtection="0"/>
    <xf numFmtId="0" fontId="36" fillId="10" borderId="0" applyNumberFormat="0" applyBorder="0" applyAlignment="0" applyProtection="0"/>
    <xf numFmtId="0" fontId="36" fillId="3"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2" borderId="0" applyNumberFormat="0" applyBorder="0" applyAlignment="0" applyProtection="0"/>
    <xf numFmtId="0" fontId="36" fillId="11"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36" fillId="3" borderId="0" applyNumberFormat="0" applyBorder="0" applyAlignment="0" applyProtection="0"/>
    <xf numFmtId="0" fontId="36" fillId="11" borderId="0" applyNumberFormat="0" applyBorder="0" applyAlignment="0" applyProtection="0"/>
    <xf numFmtId="0" fontId="36" fillId="14" borderId="0" applyNumberFormat="0" applyBorder="0" applyAlignment="0" applyProtection="0"/>
    <xf numFmtId="0" fontId="36" fillId="12" borderId="0" applyNumberFormat="0" applyBorder="0" applyAlignment="0" applyProtection="0"/>
    <xf numFmtId="0" fontId="36" fillId="8" borderId="0" applyNumberFormat="0" applyBorder="0" applyAlignment="0" applyProtection="0"/>
    <xf numFmtId="0" fontId="36" fillId="2" borderId="0" applyNumberFormat="0" applyBorder="0" applyAlignment="0" applyProtection="0"/>
    <xf numFmtId="0" fontId="36" fillId="13" borderId="0" applyNumberFormat="0" applyBorder="0" applyAlignment="0" applyProtection="0"/>
    <xf numFmtId="0" fontId="36" fillId="11" borderId="0" applyNumberFormat="0" applyBorder="0" applyAlignment="0" applyProtection="0"/>
    <xf numFmtId="0" fontId="36" fillId="10" borderId="0" applyNumberFormat="0" applyBorder="0" applyAlignment="0" applyProtection="0"/>
    <xf numFmtId="0" fontId="37" fillId="10" borderId="0" applyNumberFormat="0" applyBorder="0" applyAlignment="0" applyProtection="0"/>
    <xf numFmtId="0" fontId="37" fillId="3"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0" borderId="0" applyNumberFormat="0" applyBorder="0" applyAlignment="0" applyProtection="0"/>
    <xf numFmtId="0" fontId="37" fillId="3" borderId="0" applyNumberFormat="0" applyBorder="0" applyAlignment="0" applyProtection="0"/>
    <xf numFmtId="0" fontId="37" fillId="10" borderId="0" applyNumberFormat="0" applyBorder="0" applyAlignment="0" applyProtection="0"/>
    <xf numFmtId="0" fontId="37" fillId="15" borderId="0" applyNumberFormat="0" applyBorder="0" applyAlignment="0" applyProtection="0"/>
    <xf numFmtId="0" fontId="37" fillId="3" borderId="0" applyNumberFormat="0" applyBorder="0" applyAlignment="0" applyProtection="0"/>
    <xf numFmtId="0" fontId="37" fillId="11" borderId="0" applyNumberFormat="0" applyBorder="0" applyAlignment="0" applyProtection="0"/>
    <xf numFmtId="0" fontId="37" fillId="14" borderId="0" applyNumberFormat="0" applyBorder="0" applyAlignment="0" applyProtection="0"/>
    <xf numFmtId="0" fontId="37" fillId="12" borderId="0" applyNumberFormat="0" applyBorder="0" applyAlignment="0" applyProtection="0"/>
    <xf numFmtId="0" fontId="37" fillId="16" borderId="0" applyNumberFormat="0" applyBorder="0" applyAlignment="0" applyProtection="0"/>
    <xf numFmtId="0" fontId="37" fillId="10" borderId="0" applyNumberFormat="0" applyBorder="0" applyAlignment="0" applyProtection="0"/>
    <xf numFmtId="0" fontId="37" fillId="17" borderId="0" applyNumberFormat="0" applyBorder="0" applyAlignment="0" applyProtection="0"/>
    <xf numFmtId="0" fontId="37" fillId="3"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20" borderId="0" applyNumberFormat="0" applyBorder="0" applyAlignment="0" applyProtection="0"/>
    <xf numFmtId="0" fontId="37" fillId="23" borderId="0" applyNumberFormat="0" applyBorder="0" applyAlignment="0" applyProtection="0"/>
    <xf numFmtId="175" fontId="5" fillId="24" borderId="1">
      <alignment horizontal="center" vertical="center"/>
    </xf>
    <xf numFmtId="0" fontId="47" fillId="0" borderId="0" applyNumberFormat="0" applyFill="0" applyBorder="0" applyAlignment="0" applyProtection="0"/>
    <xf numFmtId="0" fontId="38" fillId="8" borderId="0" applyNumberFormat="0" applyBorder="0" applyAlignment="0" applyProtection="0"/>
    <xf numFmtId="0" fontId="38" fillId="5" borderId="0" applyNumberFormat="0" applyBorder="0" applyAlignment="0" applyProtection="0"/>
    <xf numFmtId="3" fontId="53" fillId="0" borderId="0"/>
    <xf numFmtId="0" fontId="39" fillId="25" borderId="2" applyNumberFormat="0" applyAlignment="0" applyProtection="0"/>
    <xf numFmtId="0" fontId="39" fillId="25" borderId="2" applyNumberFormat="0" applyAlignment="0" applyProtection="0"/>
    <xf numFmtId="0" fontId="39" fillId="25" borderId="2" applyNumberFormat="0" applyAlignment="0" applyProtection="0"/>
    <xf numFmtId="0" fontId="39" fillId="25" borderId="2" applyNumberFormat="0" applyAlignment="0" applyProtection="0"/>
    <xf numFmtId="0" fontId="83" fillId="12" borderId="2" applyNumberFormat="0" applyAlignment="0" applyProtection="0"/>
    <xf numFmtId="0" fontId="83" fillId="12" borderId="2" applyNumberFormat="0" applyAlignment="0" applyProtection="0"/>
    <xf numFmtId="0" fontId="47" fillId="0" borderId="3" applyNumberFormat="0" applyFill="0" applyAlignment="0" applyProtection="0"/>
    <xf numFmtId="0" fontId="40" fillId="26" borderId="4" applyNumberFormat="0" applyAlignment="0" applyProtection="0"/>
    <xf numFmtId="43" fontId="1" fillId="0" borderId="0" applyFont="0" applyFill="0" applyBorder="0" applyAlignment="0" applyProtection="0"/>
    <xf numFmtId="43" fontId="5" fillId="0" borderId="0" applyFont="0" applyFill="0" applyBorder="0" applyAlignment="0" applyProtection="0"/>
    <xf numFmtId="43" fontId="6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93" fillId="0" borderId="0" applyFont="0" applyFill="0" applyBorder="0" applyAlignment="0" applyProtection="0"/>
    <xf numFmtId="43" fontId="68" fillId="0" borderId="0" applyFont="0" applyFill="0" applyBorder="0" applyAlignment="0" applyProtection="0"/>
    <xf numFmtId="43" fontId="36" fillId="0" borderId="0" applyFont="0" applyFill="0" applyBorder="0" applyAlignment="0" applyProtection="0"/>
    <xf numFmtId="0" fontId="5" fillId="4" borderId="5" applyNumberFormat="0" applyFont="0" applyAlignment="0" applyProtection="0"/>
    <xf numFmtId="0" fontId="5" fillId="4" borderId="5" applyNumberFormat="0" applyFont="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6" fontId="59" fillId="0" borderId="0">
      <protection locked="0"/>
    </xf>
    <xf numFmtId="0" fontId="46" fillId="11" borderId="2" applyNumberFormat="0" applyAlignment="0" applyProtection="0"/>
    <xf numFmtId="0" fontId="46" fillId="11" borderId="2" applyNumberFormat="0" applyAlignment="0" applyProtection="0"/>
    <xf numFmtId="174" fontId="58" fillId="0" borderId="0"/>
    <xf numFmtId="0" fontId="41" fillId="0" borderId="0" applyNumberFormat="0" applyFill="0" applyBorder="0" applyAlignment="0" applyProtection="0"/>
    <xf numFmtId="177" fontId="5" fillId="0" borderId="0">
      <protection locked="0"/>
    </xf>
    <xf numFmtId="0" fontId="42" fillId="7" borderId="0" applyNumberFormat="0" applyBorder="0" applyAlignment="0" applyProtection="0"/>
    <xf numFmtId="38" fontId="6" fillId="27" borderId="0" applyNumberFormat="0" applyBorder="0" applyAlignment="0" applyProtection="0"/>
    <xf numFmtId="0" fontId="60" fillId="0" borderId="0" applyNumberFormat="0" applyFill="0" applyBorder="0" applyAlignment="0" applyProtection="0"/>
    <xf numFmtId="0" fontId="2" fillId="0" borderId="6" applyNumberFormat="0" applyAlignment="0" applyProtection="0">
      <alignment horizontal="left" vertical="center"/>
    </xf>
    <xf numFmtId="0" fontId="2" fillId="0" borderId="7">
      <alignment horizontal="left" vertical="center"/>
    </xf>
    <xf numFmtId="0" fontId="2" fillId="0" borderId="7">
      <alignment horizontal="left" vertical="center"/>
    </xf>
    <xf numFmtId="0" fontId="2" fillId="0" borderId="7">
      <alignment horizontal="left" vertical="center"/>
    </xf>
    <xf numFmtId="0" fontId="43" fillId="0" borderId="8" applyNumberFormat="0" applyFill="0" applyAlignment="0" applyProtection="0"/>
    <xf numFmtId="0" fontId="84" fillId="0" borderId="9" applyNumberFormat="0" applyFill="0" applyAlignment="0" applyProtection="0"/>
    <xf numFmtId="0" fontId="44" fillId="0" borderId="10" applyNumberFormat="0" applyFill="0" applyAlignment="0" applyProtection="0"/>
    <xf numFmtId="0" fontId="85" fillId="0" borderId="11" applyNumberFormat="0" applyFill="0" applyAlignment="0" applyProtection="0"/>
    <xf numFmtId="0" fontId="45" fillId="0" borderId="12" applyNumberFormat="0" applyFill="0" applyAlignment="0" applyProtection="0"/>
    <xf numFmtId="0" fontId="86" fillId="0" borderId="13" applyNumberFormat="0" applyFill="0" applyAlignment="0" applyProtection="0"/>
    <xf numFmtId="0" fontId="45" fillId="0" borderId="0" applyNumberFormat="0" applyFill="0" applyBorder="0" applyAlignment="0" applyProtection="0"/>
    <xf numFmtId="0" fontId="86" fillId="0" borderId="0" applyNumberFormat="0" applyFill="0" applyBorder="0" applyAlignment="0" applyProtection="0"/>
    <xf numFmtId="178" fontId="5" fillId="0" borderId="0">
      <protection locked="0"/>
    </xf>
    <xf numFmtId="178" fontId="5" fillId="0" borderId="0">
      <protection locked="0"/>
    </xf>
    <xf numFmtId="0" fontId="52" fillId="0" borderId="14" applyNumberFormat="0" applyFill="0" applyAlignment="0" applyProtection="0"/>
    <xf numFmtId="0" fontId="8"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94" fillId="0" borderId="0" applyNumberFormat="0" applyFill="0" applyBorder="0" applyAlignment="0" applyProtection="0"/>
    <xf numFmtId="0" fontId="8" fillId="0" borderId="0" applyNumberFormat="0" applyFill="0" applyBorder="0" applyAlignment="0" applyProtection="0">
      <alignment vertical="top"/>
      <protection locked="0"/>
    </xf>
    <xf numFmtId="0" fontId="8" fillId="0" borderId="0" applyNumberFormat="0" applyFill="0" applyBorder="0" applyAlignment="0" applyProtection="0"/>
    <xf numFmtId="0" fontId="8"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2"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10" fontId="6" fillId="28" borderId="15" applyNumberFormat="0" applyBorder="0" applyAlignment="0" applyProtection="0"/>
    <xf numFmtId="10" fontId="6" fillId="28" borderId="15" applyNumberFormat="0" applyBorder="0" applyAlignment="0" applyProtection="0"/>
    <xf numFmtId="10" fontId="6" fillId="28" borderId="15" applyNumberFormat="0" applyBorder="0" applyAlignment="0" applyProtection="0"/>
    <xf numFmtId="10" fontId="6" fillId="28" borderId="15" applyNumberFormat="0" applyBorder="0" applyAlignment="0" applyProtection="0"/>
    <xf numFmtId="10" fontId="6" fillId="28" borderId="15" applyNumberFormat="0" applyBorder="0" applyAlignment="0" applyProtection="0"/>
    <xf numFmtId="10" fontId="6" fillId="28" borderId="15" applyNumberFormat="0" applyBorder="0" applyAlignment="0" applyProtection="0"/>
    <xf numFmtId="10" fontId="6" fillId="28" borderId="15" applyNumberFormat="0" applyBorder="0" applyAlignment="0" applyProtection="0"/>
    <xf numFmtId="10" fontId="6" fillId="28" borderId="15" applyNumberFormat="0" applyBorder="0" applyAlignment="0" applyProtection="0"/>
    <xf numFmtId="10" fontId="6" fillId="28" borderId="15" applyNumberFormat="0" applyBorder="0" applyAlignment="0" applyProtection="0"/>
    <xf numFmtId="0" fontId="46" fillId="2" borderId="2" applyNumberFormat="0" applyAlignment="0" applyProtection="0"/>
    <xf numFmtId="0" fontId="46" fillId="2" borderId="2" applyNumberFormat="0" applyAlignment="0" applyProtection="0"/>
    <xf numFmtId="0" fontId="46" fillId="2" borderId="2" applyNumberFormat="0" applyAlignment="0" applyProtection="0"/>
    <xf numFmtId="0" fontId="46" fillId="2" borderId="2" applyNumberFormat="0" applyAlignment="0" applyProtection="0"/>
    <xf numFmtId="0" fontId="46" fillId="2" borderId="2" applyNumberFormat="0" applyAlignment="0" applyProtection="0"/>
    <xf numFmtId="0" fontId="46" fillId="2" borderId="2" applyNumberFormat="0" applyAlignment="0" applyProtection="0"/>
    <xf numFmtId="0" fontId="46" fillId="2" borderId="2" applyNumberFormat="0" applyAlignment="0" applyProtection="0"/>
    <xf numFmtId="0" fontId="46" fillId="2" borderId="2" applyNumberFormat="0" applyAlignment="0" applyProtection="0"/>
    <xf numFmtId="0" fontId="46" fillId="2" borderId="2" applyNumberFormat="0" applyAlignment="0" applyProtection="0"/>
    <xf numFmtId="0" fontId="46" fillId="2" borderId="2" applyNumberFormat="0" applyAlignment="0" applyProtection="0"/>
    <xf numFmtId="0" fontId="46" fillId="11" borderId="2" applyNumberFormat="0" applyAlignment="0" applyProtection="0"/>
    <xf numFmtId="0" fontId="46" fillId="11" borderId="2" applyNumberFormat="0" applyAlignment="0" applyProtection="0"/>
    <xf numFmtId="0" fontId="46" fillId="2" borderId="2" applyNumberFormat="0" applyAlignment="0" applyProtection="0"/>
    <xf numFmtId="0" fontId="46" fillId="2" borderId="2" applyNumberFormat="0" applyAlignment="0" applyProtection="0"/>
    <xf numFmtId="0" fontId="46" fillId="11" borderId="2" applyNumberFormat="0" applyAlignment="0" applyProtection="0"/>
    <xf numFmtId="0" fontId="46" fillId="11" borderId="2" applyNumberFormat="0" applyAlignment="0" applyProtection="0"/>
    <xf numFmtId="0" fontId="46" fillId="2" borderId="2" applyNumberFormat="0" applyAlignment="0" applyProtection="0"/>
    <xf numFmtId="0" fontId="46" fillId="2" borderId="2" applyNumberFormat="0" applyAlignment="0" applyProtection="0"/>
    <xf numFmtId="0" fontId="46" fillId="2" borderId="2" applyNumberFormat="0" applyAlignment="0" applyProtection="0"/>
    <xf numFmtId="0" fontId="46" fillId="2" borderId="2" applyNumberFormat="0" applyAlignment="0" applyProtection="0"/>
    <xf numFmtId="0" fontId="46" fillId="2" borderId="2" applyNumberFormat="0" applyAlignment="0" applyProtection="0"/>
    <xf numFmtId="0" fontId="46" fillId="2" borderId="2" applyNumberFormat="0" applyAlignment="0" applyProtection="0"/>
    <xf numFmtId="0" fontId="38" fillId="8" borderId="0" applyNumberFormat="0" applyBorder="0" applyAlignment="0" applyProtection="0"/>
    <xf numFmtId="0" fontId="47" fillId="0" borderId="3" applyNumberFormat="0" applyFill="0" applyAlignment="0" applyProtection="0"/>
    <xf numFmtId="0" fontId="87" fillId="0" borderId="16" applyNumberFormat="0" applyFill="0" applyAlignment="0" applyProtection="0"/>
    <xf numFmtId="43" fontId="36" fillId="0" borderId="0" applyFont="0" applyFill="0" applyBorder="0" applyAlignment="0" applyProtection="0"/>
    <xf numFmtId="0" fontId="48" fillId="11" borderId="0" applyNumberFormat="0" applyBorder="0" applyAlignment="0" applyProtection="0"/>
    <xf numFmtId="0" fontId="88" fillId="11" borderId="0" applyNumberFormat="0" applyBorder="0" applyAlignment="0" applyProtection="0"/>
    <xf numFmtId="0" fontId="48" fillId="11" borderId="0" applyNumberFormat="0" applyBorder="0" applyAlignment="0" applyProtection="0"/>
    <xf numFmtId="37" fontId="61" fillId="0" borderId="0"/>
    <xf numFmtId="179" fontId="5" fillId="0" borderId="0"/>
    <xf numFmtId="0" fontId="93" fillId="0" borderId="0"/>
    <xf numFmtId="0" fontId="5" fillId="0" borderId="0"/>
    <xf numFmtId="0" fontId="36" fillId="0" borderId="0"/>
    <xf numFmtId="0" fontId="93" fillId="0" borderId="0"/>
    <xf numFmtId="0" fontId="5" fillId="0" borderId="0"/>
    <xf numFmtId="0" fontId="93" fillId="0" borderId="0"/>
    <xf numFmtId="0" fontId="5" fillId="0" borderId="0"/>
    <xf numFmtId="0" fontId="93" fillId="0" borderId="0"/>
    <xf numFmtId="0" fontId="5" fillId="0" borderId="0"/>
    <xf numFmtId="0" fontId="93" fillId="0" borderId="0"/>
    <xf numFmtId="0" fontId="5" fillId="0" borderId="0"/>
    <xf numFmtId="0" fontId="93" fillId="0" borderId="0"/>
    <xf numFmtId="0" fontId="5" fillId="0" borderId="0"/>
    <xf numFmtId="0" fontId="93" fillId="0" borderId="0"/>
    <xf numFmtId="0" fontId="5" fillId="0" borderId="0"/>
    <xf numFmtId="0" fontId="5" fillId="0" borderId="0"/>
    <xf numFmtId="0" fontId="5" fillId="0" borderId="0"/>
    <xf numFmtId="0" fontId="5" fillId="0" borderId="0"/>
    <xf numFmtId="0" fontId="93" fillId="0" borderId="0"/>
    <xf numFmtId="0" fontId="5" fillId="0" borderId="0"/>
    <xf numFmtId="0" fontId="93" fillId="0" borderId="0"/>
    <xf numFmtId="0" fontId="5" fillId="0" borderId="0"/>
    <xf numFmtId="0" fontId="36" fillId="0" borderId="0"/>
    <xf numFmtId="0" fontId="93" fillId="0" borderId="0"/>
    <xf numFmtId="0" fontId="5" fillId="0" borderId="0"/>
    <xf numFmtId="0" fontId="93" fillId="0" borderId="0"/>
    <xf numFmtId="0" fontId="5" fillId="0" borderId="0"/>
    <xf numFmtId="0" fontId="93" fillId="0" borderId="0"/>
    <xf numFmtId="0" fontId="5" fillId="0" borderId="0"/>
    <xf numFmtId="0" fontId="93" fillId="0" borderId="0"/>
    <xf numFmtId="0" fontId="93" fillId="0" borderId="0"/>
    <xf numFmtId="0" fontId="93" fillId="0" borderId="0"/>
    <xf numFmtId="0" fontId="93" fillId="0" borderId="0"/>
    <xf numFmtId="0" fontId="5" fillId="0" borderId="0"/>
    <xf numFmtId="0" fontId="5" fillId="0" borderId="0"/>
    <xf numFmtId="0" fontId="5" fillId="0" borderId="0"/>
    <xf numFmtId="0" fontId="93" fillId="0" borderId="0"/>
    <xf numFmtId="0" fontId="5" fillId="0" borderId="0"/>
    <xf numFmtId="0" fontId="3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3" fillId="0" borderId="0"/>
    <xf numFmtId="0" fontId="5" fillId="0" borderId="0"/>
    <xf numFmtId="0" fontId="36" fillId="0" borderId="0"/>
    <xf numFmtId="0" fontId="5" fillId="0" borderId="0"/>
    <xf numFmtId="0" fontId="5" fillId="0" borderId="0"/>
    <xf numFmtId="0" fontId="5" fillId="0" borderId="0"/>
    <xf numFmtId="0" fontId="5" fillId="0" borderId="0"/>
    <xf numFmtId="0" fontId="5" fillId="0" borderId="0"/>
    <xf numFmtId="0" fontId="93" fillId="0" borderId="0"/>
    <xf numFmtId="0" fontId="5" fillId="0" borderId="0"/>
    <xf numFmtId="0" fontId="5" fillId="0" borderId="0"/>
    <xf numFmtId="0" fontId="5" fillId="0" borderId="0"/>
    <xf numFmtId="0" fontId="5" fillId="0" borderId="0"/>
    <xf numFmtId="0" fontId="93" fillId="0" borderId="0"/>
    <xf numFmtId="0" fontId="5" fillId="0" borderId="0"/>
    <xf numFmtId="0" fontId="36" fillId="0" borderId="0"/>
    <xf numFmtId="0" fontId="5" fillId="0" borderId="0"/>
    <xf numFmtId="0" fontId="5" fillId="0" borderId="0"/>
    <xf numFmtId="0" fontId="5" fillId="0" borderId="0"/>
    <xf numFmtId="0" fontId="5" fillId="0" borderId="0"/>
    <xf numFmtId="0" fontId="5" fillId="0" borderId="0"/>
    <xf numFmtId="0" fontId="93" fillId="0" borderId="0"/>
    <xf numFmtId="0" fontId="93" fillId="0" borderId="0"/>
    <xf numFmtId="0" fontId="5" fillId="0" borderId="0"/>
    <xf numFmtId="0" fontId="5" fillId="0" borderId="0"/>
    <xf numFmtId="0" fontId="5" fillId="0" borderId="0"/>
    <xf numFmtId="0" fontId="93" fillId="0" borderId="0"/>
    <xf numFmtId="0" fontId="5" fillId="0" borderId="0"/>
    <xf numFmtId="0" fontId="3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3" fillId="0" borderId="0"/>
    <xf numFmtId="0" fontId="93" fillId="0" borderId="0"/>
    <xf numFmtId="0" fontId="5" fillId="0" borderId="0"/>
    <xf numFmtId="0" fontId="36" fillId="0" borderId="0"/>
    <xf numFmtId="0" fontId="93" fillId="0" borderId="0"/>
    <xf numFmtId="0" fontId="93" fillId="0" borderId="0"/>
    <xf numFmtId="0" fontId="93" fillId="0" borderId="0"/>
    <xf numFmtId="0" fontId="93" fillId="0" borderId="0"/>
    <xf numFmtId="0" fontId="93" fillId="0" borderId="0"/>
    <xf numFmtId="0" fontId="93" fillId="0" borderId="0"/>
    <xf numFmtId="0" fontId="5" fillId="0" borderId="0"/>
    <xf numFmtId="0" fontId="5" fillId="0" borderId="0"/>
    <xf numFmtId="0" fontId="5" fillId="0" borderId="0"/>
    <xf numFmtId="0" fontId="93" fillId="0" borderId="0"/>
    <xf numFmtId="0" fontId="36" fillId="0" borderId="0"/>
    <xf numFmtId="0" fontId="93" fillId="0" borderId="0"/>
    <xf numFmtId="0" fontId="36" fillId="0" borderId="0"/>
    <xf numFmtId="0" fontId="93" fillId="0" borderId="0"/>
    <xf numFmtId="0" fontId="36" fillId="0" borderId="0"/>
    <xf numFmtId="0" fontId="5" fillId="0" borderId="0"/>
    <xf numFmtId="0" fontId="5" fillId="0" borderId="0"/>
    <xf numFmtId="0" fontId="22" fillId="0" borderId="0"/>
    <xf numFmtId="0" fontId="5" fillId="0" borderId="0"/>
    <xf numFmtId="0" fontId="22" fillId="0" borderId="0"/>
    <xf numFmtId="0" fontId="32" fillId="0" borderId="0"/>
    <xf numFmtId="0" fontId="36" fillId="0" borderId="0"/>
    <xf numFmtId="0" fontId="5" fillId="0" borderId="0"/>
    <xf numFmtId="0" fontId="22" fillId="0" borderId="0"/>
    <xf numFmtId="0" fontId="5" fillId="0" borderId="0"/>
    <xf numFmtId="0" fontId="5" fillId="0" borderId="0"/>
    <xf numFmtId="0" fontId="5" fillId="0" borderId="0"/>
    <xf numFmtId="0" fontId="5" fillId="0" borderId="0"/>
    <xf numFmtId="0" fontId="5" fillId="0" borderId="0"/>
    <xf numFmtId="0" fontId="93" fillId="0" borderId="0"/>
    <xf numFmtId="0" fontId="36" fillId="0" borderId="0"/>
    <xf numFmtId="0" fontId="93" fillId="0" borderId="0"/>
    <xf numFmtId="0" fontId="36" fillId="0" borderId="0"/>
    <xf numFmtId="0" fontId="93" fillId="0" borderId="0"/>
    <xf numFmtId="0" fontId="36" fillId="0" borderId="0"/>
    <xf numFmtId="0" fontId="93" fillId="0" borderId="0"/>
    <xf numFmtId="0" fontId="36" fillId="0" borderId="0"/>
    <xf numFmtId="0" fontId="93" fillId="0" borderId="0"/>
    <xf numFmtId="0" fontId="36" fillId="0" borderId="0"/>
    <xf numFmtId="0" fontId="5" fillId="0" borderId="0"/>
    <xf numFmtId="0" fontId="93" fillId="0" borderId="0"/>
    <xf numFmtId="0" fontId="5" fillId="0" borderId="0"/>
    <xf numFmtId="0" fontId="5" fillId="0" borderId="0"/>
    <xf numFmtId="0" fontId="5" fillId="0" borderId="0"/>
    <xf numFmtId="0" fontId="32" fillId="0" borderId="0"/>
    <xf numFmtId="0" fontId="36" fillId="0" borderId="0"/>
    <xf numFmtId="0" fontId="5" fillId="0" borderId="0"/>
    <xf numFmtId="0" fontId="5" fillId="0" borderId="0"/>
    <xf numFmtId="0" fontId="5" fillId="0" borderId="0"/>
    <xf numFmtId="0" fontId="93" fillId="0" borderId="0"/>
    <xf numFmtId="0" fontId="5" fillId="0" borderId="0"/>
    <xf numFmtId="0" fontId="93" fillId="0" borderId="0"/>
    <xf numFmtId="0" fontId="5" fillId="0" borderId="0"/>
    <xf numFmtId="0" fontId="93" fillId="0" borderId="0"/>
    <xf numFmtId="0" fontId="5" fillId="0" borderId="0"/>
    <xf numFmtId="0" fontId="93" fillId="0" borderId="0"/>
    <xf numFmtId="0" fontId="93" fillId="0" borderId="0"/>
    <xf numFmtId="0" fontId="5" fillId="0" borderId="0"/>
    <xf numFmtId="0" fontId="93" fillId="0" borderId="0"/>
    <xf numFmtId="0" fontId="5" fillId="0" borderId="0"/>
    <xf numFmtId="0" fontId="93" fillId="0" borderId="0"/>
    <xf numFmtId="0" fontId="93" fillId="0" borderId="0"/>
    <xf numFmtId="0" fontId="5" fillId="0" borderId="0"/>
    <xf numFmtId="0" fontId="93" fillId="0" borderId="0"/>
    <xf numFmtId="0" fontId="93" fillId="0" borderId="0"/>
    <xf numFmtId="0" fontId="5" fillId="0" borderId="0"/>
    <xf numFmtId="0" fontId="93" fillId="0" borderId="0"/>
    <xf numFmtId="0" fontId="93" fillId="0" borderId="0"/>
    <xf numFmtId="0" fontId="5" fillId="0" borderId="0"/>
    <xf numFmtId="0" fontId="93" fillId="0" borderId="0"/>
    <xf numFmtId="0" fontId="93" fillId="0" borderId="0"/>
    <xf numFmtId="0" fontId="5" fillId="0" borderId="0"/>
    <xf numFmtId="0" fontId="93" fillId="0" borderId="0"/>
    <xf numFmtId="0" fontId="93" fillId="0" borderId="0"/>
    <xf numFmtId="0" fontId="5" fillId="0" borderId="0"/>
    <xf numFmtId="0" fontId="5" fillId="0" borderId="0"/>
    <xf numFmtId="0" fontId="32" fillId="0" borderId="0"/>
    <xf numFmtId="0" fontId="93" fillId="0" borderId="0"/>
    <xf numFmtId="0" fontId="5" fillId="0" borderId="0"/>
    <xf numFmtId="0" fontId="5" fillId="0" borderId="0"/>
    <xf numFmtId="0" fontId="9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3" fillId="0" borderId="0"/>
    <xf numFmtId="0" fontId="5" fillId="0" borderId="0"/>
    <xf numFmtId="0" fontId="93" fillId="0" borderId="0"/>
    <xf numFmtId="0" fontId="32" fillId="0" borderId="0"/>
    <xf numFmtId="0" fontId="93" fillId="0" borderId="0"/>
    <xf numFmtId="0" fontId="36" fillId="0" borderId="0"/>
    <xf numFmtId="0" fontId="93" fillId="0" borderId="0"/>
    <xf numFmtId="0" fontId="36" fillId="0" borderId="0"/>
    <xf numFmtId="0" fontId="36" fillId="0" borderId="0"/>
    <xf numFmtId="0" fontId="5" fillId="0" borderId="0"/>
    <xf numFmtId="0" fontId="36" fillId="0" borderId="0"/>
    <xf numFmtId="0" fontId="5" fillId="0" borderId="0"/>
    <xf numFmtId="0" fontId="5"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5" fillId="0" borderId="0"/>
    <xf numFmtId="0" fontId="93" fillId="0" borderId="0"/>
    <xf numFmtId="0" fontId="5" fillId="0" borderId="0"/>
    <xf numFmtId="0" fontId="5" fillId="0" borderId="0"/>
    <xf numFmtId="0" fontId="32" fillId="0" borderId="0"/>
    <xf numFmtId="0" fontId="93" fillId="0" borderId="0"/>
    <xf numFmtId="0" fontId="93" fillId="0" borderId="0"/>
    <xf numFmtId="0" fontId="5" fillId="0" borderId="0"/>
    <xf numFmtId="0" fontId="93" fillId="0" borderId="0"/>
    <xf numFmtId="0" fontId="5" fillId="0" borderId="0"/>
    <xf numFmtId="0" fontId="93" fillId="0" borderId="0"/>
    <xf numFmtId="0" fontId="5" fillId="0" borderId="0"/>
    <xf numFmtId="0" fontId="93" fillId="0" borderId="0"/>
    <xf numFmtId="0" fontId="5" fillId="0" borderId="0"/>
    <xf numFmtId="0" fontId="93" fillId="0" borderId="0"/>
    <xf numFmtId="0" fontId="5" fillId="0" borderId="0"/>
    <xf numFmtId="0" fontId="93" fillId="0" borderId="0"/>
    <xf numFmtId="0" fontId="5" fillId="0" borderId="0"/>
    <xf numFmtId="0" fontId="93" fillId="0" borderId="0"/>
    <xf numFmtId="0" fontId="5" fillId="0" borderId="0"/>
    <xf numFmtId="0" fontId="93" fillId="0" borderId="0"/>
    <xf numFmtId="0" fontId="5" fillId="0" borderId="0"/>
    <xf numFmtId="0" fontId="93" fillId="0" borderId="0"/>
    <xf numFmtId="0" fontId="5" fillId="0" borderId="0"/>
    <xf numFmtId="0" fontId="93" fillId="0" borderId="0"/>
    <xf numFmtId="0" fontId="5" fillId="0" borderId="0"/>
    <xf numFmtId="0" fontId="93" fillId="0" borderId="0"/>
    <xf numFmtId="0" fontId="5" fillId="0" borderId="0"/>
    <xf numFmtId="0" fontId="93" fillId="0" borderId="0"/>
    <xf numFmtId="0" fontId="5" fillId="0" borderId="0"/>
    <xf numFmtId="0" fontId="93" fillId="0" borderId="0"/>
    <xf numFmtId="0" fontId="5" fillId="0" borderId="0"/>
    <xf numFmtId="0" fontId="93" fillId="0" borderId="0"/>
    <xf numFmtId="0" fontId="5" fillId="0" borderId="0"/>
    <xf numFmtId="0" fontId="93" fillId="0" borderId="0"/>
    <xf numFmtId="0" fontId="5" fillId="0" borderId="0"/>
    <xf numFmtId="0" fontId="93" fillId="0" borderId="0"/>
    <xf numFmtId="0" fontId="5" fillId="0" borderId="0"/>
    <xf numFmtId="0" fontId="93" fillId="0" borderId="0"/>
    <xf numFmtId="0" fontId="5" fillId="0" borderId="0"/>
    <xf numFmtId="0" fontId="93" fillId="0" borderId="0"/>
    <xf numFmtId="0" fontId="5" fillId="0" borderId="0"/>
    <xf numFmtId="0" fontId="93" fillId="0" borderId="0"/>
    <xf numFmtId="0" fontId="32" fillId="0" borderId="0"/>
    <xf numFmtId="0" fontId="5" fillId="0" borderId="0"/>
    <xf numFmtId="0" fontId="36" fillId="0" borderId="0"/>
    <xf numFmtId="0" fontId="93" fillId="0" borderId="0"/>
    <xf numFmtId="0" fontId="5" fillId="0" borderId="0"/>
    <xf numFmtId="0" fontId="93" fillId="0" borderId="0"/>
    <xf numFmtId="0" fontId="5" fillId="0" borderId="0"/>
    <xf numFmtId="0" fontId="93" fillId="0" borderId="0"/>
    <xf numFmtId="0" fontId="5" fillId="0" borderId="0"/>
    <xf numFmtId="0" fontId="93" fillId="0" borderId="0"/>
    <xf numFmtId="0" fontId="5" fillId="0" borderId="0"/>
    <xf numFmtId="0" fontId="93" fillId="0" borderId="0"/>
    <xf numFmtId="0" fontId="5" fillId="0" borderId="0"/>
    <xf numFmtId="0" fontId="93" fillId="0" borderId="0"/>
    <xf numFmtId="0" fontId="5" fillId="0" borderId="0"/>
    <xf numFmtId="0" fontId="93" fillId="0" borderId="0"/>
    <xf numFmtId="0" fontId="5" fillId="0" borderId="0"/>
    <xf numFmtId="0" fontId="93" fillId="0" borderId="0"/>
    <xf numFmtId="0" fontId="5" fillId="0" borderId="0"/>
    <xf numFmtId="0" fontId="93" fillId="0" borderId="0"/>
    <xf numFmtId="0" fontId="5" fillId="0" borderId="0"/>
    <xf numFmtId="0" fontId="93" fillId="0" borderId="0"/>
    <xf numFmtId="0" fontId="5" fillId="0" borderId="0"/>
    <xf numFmtId="0" fontId="93" fillId="0" borderId="0"/>
    <xf numFmtId="0" fontId="5" fillId="0" borderId="0"/>
    <xf numFmtId="0" fontId="93" fillId="0" borderId="0"/>
    <xf numFmtId="0" fontId="5" fillId="0" borderId="0"/>
    <xf numFmtId="0" fontId="93" fillId="0" borderId="0"/>
    <xf numFmtId="0" fontId="5" fillId="0" borderId="0"/>
    <xf numFmtId="0" fontId="93" fillId="0" borderId="0"/>
    <xf numFmtId="0" fontId="5" fillId="0" borderId="0"/>
    <xf numFmtId="0" fontId="93" fillId="0" borderId="0"/>
    <xf numFmtId="0" fontId="5" fillId="0" borderId="0"/>
    <xf numFmtId="0" fontId="93" fillId="0" borderId="0"/>
    <xf numFmtId="0" fontId="5" fillId="0" borderId="0"/>
    <xf numFmtId="0" fontId="5" fillId="0" borderId="0"/>
    <xf numFmtId="0" fontId="5" fillId="0" borderId="0"/>
    <xf numFmtId="0" fontId="93" fillId="0" borderId="0"/>
    <xf numFmtId="0" fontId="32" fillId="0" borderId="0"/>
    <xf numFmtId="0" fontId="3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3" fillId="0" borderId="0"/>
    <xf numFmtId="0" fontId="5" fillId="0" borderId="0"/>
    <xf numFmtId="0" fontId="93" fillId="0" borderId="0"/>
    <xf numFmtId="0" fontId="5" fillId="0" borderId="0"/>
    <xf numFmtId="0" fontId="5" fillId="0" borderId="0"/>
    <xf numFmtId="0" fontId="93" fillId="0" borderId="0"/>
    <xf numFmtId="0" fontId="5" fillId="0" borderId="0"/>
    <xf numFmtId="0" fontId="36" fillId="0" borderId="0"/>
    <xf numFmtId="0" fontId="5" fillId="0" borderId="0"/>
    <xf numFmtId="0" fontId="5" fillId="0" borderId="0"/>
    <xf numFmtId="0" fontId="5" fillId="0" borderId="0"/>
    <xf numFmtId="0" fontId="5" fillId="0" borderId="0"/>
    <xf numFmtId="0" fontId="93" fillId="0" borderId="0"/>
    <xf numFmtId="0" fontId="5" fillId="0" borderId="0"/>
    <xf numFmtId="0" fontId="93" fillId="0" borderId="0"/>
    <xf numFmtId="0" fontId="5" fillId="0" borderId="0"/>
    <xf numFmtId="0" fontId="93" fillId="0" borderId="0"/>
    <xf numFmtId="0" fontId="5" fillId="0" borderId="0"/>
    <xf numFmtId="0" fontId="93" fillId="0" borderId="0"/>
    <xf numFmtId="0" fontId="5" fillId="0" borderId="0"/>
    <xf numFmtId="0" fontId="93" fillId="0" borderId="0"/>
    <xf numFmtId="0" fontId="5" fillId="0" borderId="0"/>
    <xf numFmtId="0" fontId="5" fillId="0" borderId="0"/>
    <xf numFmtId="0" fontId="22" fillId="0" borderId="0"/>
    <xf numFmtId="0" fontId="5" fillId="4" borderId="5" applyNumberFormat="0" applyFont="0" applyAlignment="0" applyProtection="0"/>
    <xf numFmtId="0" fontId="5" fillId="4" borderId="5" applyNumberFormat="0" applyFont="0" applyAlignment="0" applyProtection="0"/>
    <xf numFmtId="0" fontId="5" fillId="4" borderId="5" applyNumberFormat="0" applyFont="0" applyAlignment="0" applyProtection="0"/>
    <xf numFmtId="0" fontId="5" fillId="4" borderId="5" applyNumberFormat="0" applyFont="0" applyAlignment="0" applyProtection="0"/>
    <xf numFmtId="0" fontId="49" fillId="25" borderId="17" applyNumberFormat="0" applyAlignment="0" applyProtection="0"/>
    <xf numFmtId="0" fontId="49" fillId="25" borderId="17" applyNumberFormat="0" applyAlignment="0" applyProtection="0"/>
    <xf numFmtId="0" fontId="49" fillId="12" borderId="17" applyNumberFormat="0" applyAlignment="0" applyProtection="0"/>
    <xf numFmtId="40" fontId="54" fillId="29" borderId="0">
      <alignment horizontal="right"/>
    </xf>
    <xf numFmtId="0" fontId="55" fillId="29" borderId="0">
      <alignment horizontal="right"/>
    </xf>
    <xf numFmtId="0" fontId="56" fillId="29" borderId="18"/>
    <xf numFmtId="0" fontId="56" fillId="0" borderId="0" applyBorder="0">
      <alignment horizontal="centerContinuous"/>
    </xf>
    <xf numFmtId="0" fontId="57" fillId="0" borderId="0" applyBorder="0">
      <alignment horizontal="centerContinuous"/>
    </xf>
    <xf numFmtId="9" fontId="1" fillId="0" borderId="0" applyFont="0" applyFill="0" applyBorder="0" applyAlignment="0" applyProtection="0"/>
    <xf numFmtId="10"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36" fillId="0" borderId="0" applyFont="0" applyFill="0" applyBorder="0" applyAlignment="0" applyProtection="0"/>
    <xf numFmtId="9" fontId="5"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36" fillId="0" borderId="0" applyFont="0" applyFill="0" applyBorder="0" applyAlignment="0" applyProtection="0"/>
    <xf numFmtId="9" fontId="5"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36" fillId="0" borderId="0" applyFont="0" applyFill="0" applyBorder="0" applyAlignment="0" applyProtection="0"/>
    <xf numFmtId="9" fontId="5"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36" fillId="0" borderId="0" applyFont="0" applyFill="0" applyBorder="0" applyAlignment="0" applyProtection="0"/>
    <xf numFmtId="9" fontId="5"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68" fillId="0" borderId="0" applyFont="0" applyFill="0" applyBorder="0" applyAlignment="0" applyProtection="0"/>
    <xf numFmtId="9" fontId="36" fillId="0" borderId="0" applyFont="0" applyFill="0" applyBorder="0" applyAlignment="0" applyProtection="0"/>
    <xf numFmtId="9" fontId="5"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68" fillId="0" borderId="0" applyFont="0" applyFill="0" applyBorder="0" applyAlignment="0" applyProtection="0"/>
    <xf numFmtId="9" fontId="36" fillId="0" borderId="0" applyFont="0" applyFill="0" applyBorder="0" applyAlignment="0" applyProtection="0"/>
    <xf numFmtId="9" fontId="5"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68" fillId="0" borderId="0" applyFont="0" applyFill="0" applyBorder="0" applyAlignment="0" applyProtection="0"/>
    <xf numFmtId="9" fontId="36" fillId="0" borderId="0" applyFont="0" applyFill="0" applyBorder="0" applyAlignment="0" applyProtection="0"/>
    <xf numFmtId="9" fontId="5"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6" fillId="0" borderId="0" applyFont="0" applyFill="0" applyBorder="0" applyAlignment="0" applyProtection="0"/>
    <xf numFmtId="9" fontId="68"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9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36"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3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3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6" fillId="0" borderId="0" applyFont="0" applyFill="0" applyBorder="0" applyAlignment="0" applyProtection="0"/>
    <xf numFmtId="0" fontId="73" fillId="0" borderId="19" applyNumberFormat="0" applyFont="0" applyFill="0" applyAlignment="0" applyProtection="0"/>
    <xf numFmtId="0" fontId="73" fillId="0" borderId="19" applyNumberFormat="0" applyFont="0" applyFill="0" applyAlignment="0" applyProtection="0"/>
    <xf numFmtId="180" fontId="74" fillId="0" borderId="20" applyNumberFormat="0" applyAlignment="0" applyProtection="0">
      <alignment horizontal="right" vertical="center" indent="1"/>
    </xf>
    <xf numFmtId="180" fontId="75" fillId="30" borderId="21" applyNumberFormat="0" applyAlignment="0" applyProtection="0">
      <alignment horizontal="right" vertical="center" indent="1"/>
    </xf>
    <xf numFmtId="0" fontId="75" fillId="31" borderId="2" applyNumberFormat="0" applyAlignment="0" applyProtection="0">
      <alignment horizontal="left" vertical="center" indent="1"/>
    </xf>
    <xf numFmtId="0" fontId="75" fillId="31" borderId="2" applyNumberFormat="0" applyAlignment="0" applyProtection="0">
      <alignment horizontal="left" vertical="center" indent="1"/>
    </xf>
    <xf numFmtId="180" fontId="74" fillId="32" borderId="2" applyNumberFormat="0" applyAlignment="0" applyProtection="0">
      <alignment horizontal="left" vertical="center" indent="1"/>
    </xf>
    <xf numFmtId="180" fontId="74" fillId="32" borderId="2" applyNumberFormat="0" applyAlignment="0" applyProtection="0">
      <alignment horizontal="left" vertical="center" indent="1"/>
    </xf>
    <xf numFmtId="0" fontId="74" fillId="32" borderId="2" applyNumberFormat="0" applyAlignment="0" applyProtection="0">
      <alignment horizontal="left" vertical="center" indent="1"/>
    </xf>
    <xf numFmtId="0" fontId="74" fillId="32" borderId="2" applyNumberFormat="0" applyAlignment="0" applyProtection="0">
      <alignment horizontal="left" vertical="center" indent="1"/>
    </xf>
    <xf numFmtId="0" fontId="76" fillId="0" borderId="22" applyNumberFormat="0" applyFill="0" applyBorder="0" applyAlignment="0" applyProtection="0"/>
    <xf numFmtId="0" fontId="76" fillId="0" borderId="22" applyNumberFormat="0" applyFill="0" applyBorder="0" applyAlignment="0" applyProtection="0"/>
    <xf numFmtId="180" fontId="76" fillId="32" borderId="2" applyNumberFormat="0" applyAlignment="0" applyProtection="0">
      <alignment horizontal="left" vertical="center" indent="1"/>
    </xf>
    <xf numFmtId="180" fontId="76" fillId="32" borderId="2" applyNumberFormat="0" applyAlignment="0" applyProtection="0">
      <alignment horizontal="left" vertical="center" indent="1"/>
    </xf>
    <xf numFmtId="0" fontId="76" fillId="32" borderId="2" applyNumberFormat="0" applyAlignment="0" applyProtection="0">
      <alignment horizontal="left" vertical="center" indent="1"/>
    </xf>
    <xf numFmtId="0" fontId="76" fillId="32" borderId="2" applyNumberFormat="0" applyAlignment="0" applyProtection="0">
      <alignment horizontal="left" vertical="center" indent="1"/>
    </xf>
    <xf numFmtId="180" fontId="76" fillId="33" borderId="20" applyNumberFormat="0" applyBorder="0" applyAlignment="0" applyProtection="0">
      <alignment horizontal="right" vertical="center" indent="1"/>
    </xf>
    <xf numFmtId="180" fontId="77" fillId="33" borderId="21" applyNumberFormat="0" applyAlignment="0" applyProtection="0">
      <alignment horizontal="right" vertical="center" indent="1"/>
    </xf>
    <xf numFmtId="0" fontId="76" fillId="32" borderId="2" applyNumberFormat="0" applyAlignment="0" applyProtection="0">
      <alignment horizontal="left" vertical="center" indent="1"/>
    </xf>
    <xf numFmtId="0" fontId="76" fillId="32" borderId="2" applyNumberFormat="0" applyAlignment="0" applyProtection="0">
      <alignment horizontal="left" vertical="center" indent="1"/>
    </xf>
    <xf numFmtId="180" fontId="77" fillId="30" borderId="21" applyNumberFormat="0" applyAlignment="0" applyProtection="0">
      <alignment horizontal="right" vertical="center" indent="1"/>
    </xf>
    <xf numFmtId="180" fontId="77" fillId="30" borderId="21" applyNumberFormat="0" applyAlignment="0" applyProtection="0">
      <alignment horizontal="right" vertical="center" indent="1"/>
    </xf>
    <xf numFmtId="180" fontId="78" fillId="34" borderId="23" applyNumberFormat="0" applyBorder="0" applyAlignment="0" applyProtection="0">
      <alignment horizontal="right" vertical="center" indent="1"/>
    </xf>
    <xf numFmtId="180" fontId="78" fillId="34" borderId="23" applyNumberFormat="0" applyBorder="0" applyAlignment="0" applyProtection="0">
      <alignment horizontal="right" vertical="center" indent="1"/>
    </xf>
    <xf numFmtId="180" fontId="78" fillId="35" borderId="23" applyNumberFormat="0" applyBorder="0" applyAlignment="0" applyProtection="0">
      <alignment horizontal="right" vertical="center" indent="1"/>
    </xf>
    <xf numFmtId="180" fontId="78" fillId="35" borderId="23" applyNumberFormat="0" applyBorder="0" applyAlignment="0" applyProtection="0">
      <alignment horizontal="right" vertical="center" indent="1"/>
    </xf>
    <xf numFmtId="180" fontId="78" fillId="35" borderId="23" applyNumberFormat="0" applyBorder="0" applyAlignment="0" applyProtection="0">
      <alignment horizontal="right" vertical="center" indent="1"/>
    </xf>
    <xf numFmtId="180" fontId="78" fillId="35" borderId="23" applyNumberFormat="0" applyBorder="0" applyAlignment="0" applyProtection="0">
      <alignment horizontal="right" vertical="center" indent="1"/>
    </xf>
    <xf numFmtId="180" fontId="79" fillId="36" borderId="23" applyNumberFormat="0" applyBorder="0" applyAlignment="0" applyProtection="0">
      <alignment horizontal="right" vertical="center" indent="1"/>
    </xf>
    <xf numFmtId="180" fontId="79" fillId="36" borderId="23" applyNumberFormat="0" applyBorder="0" applyAlignment="0" applyProtection="0">
      <alignment horizontal="right" vertical="center" indent="1"/>
    </xf>
    <xf numFmtId="180" fontId="79" fillId="37" borderId="23" applyNumberFormat="0" applyBorder="0" applyAlignment="0" applyProtection="0">
      <alignment horizontal="right" vertical="center" indent="1"/>
    </xf>
    <xf numFmtId="180" fontId="79" fillId="37" borderId="23" applyNumberFormat="0" applyBorder="0" applyAlignment="0" applyProtection="0">
      <alignment horizontal="right" vertical="center" indent="1"/>
    </xf>
    <xf numFmtId="180" fontId="79" fillId="38" borderId="23" applyNumberFormat="0" applyBorder="0" applyAlignment="0" applyProtection="0">
      <alignment horizontal="right" vertical="center" indent="1"/>
    </xf>
    <xf numFmtId="180" fontId="79" fillId="38" borderId="23" applyNumberFormat="0" applyBorder="0" applyAlignment="0" applyProtection="0">
      <alignment horizontal="right" vertical="center" indent="1"/>
    </xf>
    <xf numFmtId="180" fontId="80" fillId="39" borderId="23" applyNumberFormat="0" applyBorder="0" applyAlignment="0" applyProtection="0">
      <alignment horizontal="right" vertical="center" indent="1"/>
    </xf>
    <xf numFmtId="180" fontId="80" fillId="39" borderId="23" applyNumberFormat="0" applyBorder="0" applyAlignment="0" applyProtection="0">
      <alignment horizontal="right" vertical="center" indent="1"/>
    </xf>
    <xf numFmtId="180" fontId="80" fillId="38" borderId="23" applyNumberFormat="0" applyBorder="0" applyAlignment="0" applyProtection="0">
      <alignment horizontal="right" vertical="center" indent="1"/>
    </xf>
    <xf numFmtId="180" fontId="80" fillId="38" borderId="23" applyNumberFormat="0" applyBorder="0" applyAlignment="0" applyProtection="0">
      <alignment horizontal="right" vertical="center" indent="1"/>
    </xf>
    <xf numFmtId="180" fontId="80" fillId="38" borderId="23" applyNumberFormat="0" applyBorder="0" applyAlignment="0" applyProtection="0">
      <alignment horizontal="right" vertical="center" indent="1"/>
    </xf>
    <xf numFmtId="180" fontId="80" fillId="38" borderId="23" applyNumberFormat="0" applyBorder="0" applyAlignment="0" applyProtection="0">
      <alignment horizontal="right" vertical="center" indent="1"/>
    </xf>
    <xf numFmtId="0" fontId="74" fillId="31" borderId="21" applyNumberFormat="0" applyAlignment="0" applyProtection="0">
      <alignment horizontal="left" vertical="center" indent="1"/>
    </xf>
    <xf numFmtId="0" fontId="74" fillId="40" borderId="2" applyNumberFormat="0" applyAlignment="0" applyProtection="0">
      <alignment horizontal="left" vertical="center" indent="1"/>
    </xf>
    <xf numFmtId="0" fontId="74" fillId="40" borderId="2" applyNumberFormat="0" applyAlignment="0" applyProtection="0">
      <alignment horizontal="left" vertical="center" indent="1"/>
    </xf>
    <xf numFmtId="0" fontId="74" fillId="33" borderId="2" applyNumberFormat="0" applyAlignment="0" applyProtection="0">
      <alignment horizontal="left" vertical="center" indent="1"/>
    </xf>
    <xf numFmtId="0" fontId="74" fillId="33" borderId="2" applyNumberFormat="0" applyAlignment="0" applyProtection="0">
      <alignment horizontal="left" vertical="center" indent="1"/>
    </xf>
    <xf numFmtId="0" fontId="74" fillId="33" borderId="2" applyNumberFormat="0" applyAlignment="0" applyProtection="0">
      <alignment horizontal="left" vertical="center" indent="1"/>
    </xf>
    <xf numFmtId="0" fontId="74" fillId="33" borderId="2" applyNumberFormat="0" applyAlignment="0" applyProtection="0">
      <alignment horizontal="left" vertical="center" indent="1"/>
    </xf>
    <xf numFmtId="0" fontId="74" fillId="33" borderId="2" applyNumberFormat="0" applyAlignment="0" applyProtection="0">
      <alignment horizontal="left" vertical="center" indent="1"/>
    </xf>
    <xf numFmtId="0" fontId="74" fillId="33" borderId="2" applyNumberFormat="0" applyAlignment="0" applyProtection="0">
      <alignment horizontal="left" vertical="center" indent="1"/>
    </xf>
    <xf numFmtId="0" fontId="74" fillId="32" borderId="2" applyNumberFormat="0" applyAlignment="0" applyProtection="0">
      <alignment horizontal="left" vertical="center" indent="1"/>
    </xf>
    <xf numFmtId="0" fontId="74" fillId="32" borderId="2" applyNumberFormat="0" applyAlignment="0" applyProtection="0">
      <alignment horizontal="left" vertical="center" indent="1"/>
    </xf>
    <xf numFmtId="0" fontId="74" fillId="29" borderId="21" applyNumberFormat="0" applyAlignment="0" applyProtection="0">
      <alignment horizontal="left" vertical="center" indent="1"/>
    </xf>
    <xf numFmtId="180" fontId="74" fillId="33" borderId="20" applyNumberFormat="0" applyBorder="0" applyAlignment="0" applyProtection="0">
      <alignment horizontal="right" vertical="center" indent="1"/>
    </xf>
    <xf numFmtId="180" fontId="75" fillId="33" borderId="21" applyNumberFormat="0" applyAlignment="0" applyProtection="0">
      <alignment horizontal="right" vertical="center" indent="1"/>
    </xf>
    <xf numFmtId="180" fontId="74" fillId="31" borderId="19" applyNumberFormat="0" applyAlignment="0" applyProtection="0">
      <alignment horizontal="left" vertical="center" indent="1"/>
    </xf>
    <xf numFmtId="180" fontId="74" fillId="31" borderId="19" applyNumberFormat="0" applyAlignment="0" applyProtection="0">
      <alignment horizontal="left" vertical="center" indent="1"/>
    </xf>
    <xf numFmtId="0" fontId="75" fillId="36" borderId="2" applyNumberFormat="0" applyAlignment="0" applyProtection="0">
      <alignment horizontal="left" vertical="center" indent="1"/>
    </xf>
    <xf numFmtId="0" fontId="75" fillId="36" borderId="2" applyNumberFormat="0" applyAlignment="0" applyProtection="0">
      <alignment horizontal="left" vertical="center" indent="1"/>
    </xf>
    <xf numFmtId="0" fontId="74" fillId="32" borderId="2" applyNumberFormat="0" applyAlignment="0" applyProtection="0">
      <alignment horizontal="left" vertical="center" indent="1"/>
    </xf>
    <xf numFmtId="0" fontId="74" fillId="32" borderId="2" applyNumberFormat="0" applyAlignment="0" applyProtection="0">
      <alignment horizontal="left" vertical="center" indent="1"/>
    </xf>
    <xf numFmtId="180" fontId="75" fillId="30" borderId="21" applyNumberFormat="0" applyAlignment="0" applyProtection="0">
      <alignment horizontal="right" vertical="center" indent="1"/>
    </xf>
    <xf numFmtId="0" fontId="42" fillId="7" borderId="0" applyNumberFormat="0" applyBorder="0" applyAlignment="0" applyProtection="0"/>
    <xf numFmtId="0" fontId="49" fillId="25" borderId="17" applyNumberFormat="0" applyAlignment="0" applyProtection="0"/>
    <xf numFmtId="0" fontId="49" fillId="25" borderId="17" applyNumberFormat="0" applyAlignment="0" applyProtection="0"/>
    <xf numFmtId="0" fontId="41" fillId="0" borderId="0" applyNumberFormat="0" applyFill="0" applyBorder="0" applyAlignment="0" applyProtection="0"/>
    <xf numFmtId="0" fontId="50" fillId="0" borderId="0" applyNumberFormat="0" applyFill="0" applyBorder="0" applyAlignment="0" applyProtection="0"/>
    <xf numFmtId="0" fontId="89" fillId="0" borderId="0" applyNumberFormat="0" applyFill="0" applyBorder="0" applyAlignment="0" applyProtection="0"/>
    <xf numFmtId="0" fontId="50" fillId="0" borderId="0" applyNumberFormat="0" applyFill="0" applyBorder="0" applyAlignment="0" applyProtection="0"/>
    <xf numFmtId="0" fontId="43" fillId="0" borderId="8" applyNumberFormat="0" applyFill="0" applyAlignment="0" applyProtection="0"/>
    <xf numFmtId="0" fontId="44" fillId="0" borderId="10" applyNumberFormat="0" applyFill="0" applyAlignment="0" applyProtection="0"/>
    <xf numFmtId="0" fontId="45" fillId="0" borderId="12" applyNumberFormat="0" applyFill="0" applyAlignment="0" applyProtection="0"/>
    <xf numFmtId="0" fontId="45" fillId="0" borderId="0" applyNumberFormat="0" applyFill="0" applyBorder="0" applyAlignment="0" applyProtection="0"/>
    <xf numFmtId="0" fontId="51" fillId="0" borderId="24" applyNumberFormat="0" applyFill="0" applyAlignment="0" applyProtection="0"/>
    <xf numFmtId="0" fontId="51" fillId="0" borderId="24" applyNumberFormat="0" applyFill="0" applyAlignment="0" applyProtection="0"/>
    <xf numFmtId="0" fontId="51" fillId="0" borderId="25" applyNumberFormat="0" applyFill="0" applyAlignment="0" applyProtection="0"/>
    <xf numFmtId="37" fontId="6" fillId="41" borderId="0" applyNumberFormat="0" applyBorder="0" applyAlignment="0" applyProtection="0"/>
    <xf numFmtId="37" fontId="6" fillId="0" borderId="0"/>
    <xf numFmtId="3" fontId="62" fillId="0" borderId="14" applyProtection="0"/>
    <xf numFmtId="0" fontId="40" fillId="26" borderId="4" applyNumberFormat="0" applyAlignment="0" applyProtection="0"/>
    <xf numFmtId="0" fontId="47" fillId="0" borderId="0" applyNumberFormat="0" applyFill="0" applyBorder="0" applyAlignment="0" applyProtection="0"/>
  </cellStyleXfs>
  <cellXfs count="484">
    <xf numFmtId="0" fontId="0" fillId="0" borderId="0" xfId="0"/>
    <xf numFmtId="0" fontId="3" fillId="0" borderId="0" xfId="0" applyFont="1"/>
    <xf numFmtId="3" fontId="0" fillId="0" borderId="0" xfId="0" applyNumberFormat="1"/>
    <xf numFmtId="0" fontId="3" fillId="0" borderId="0" xfId="0" applyFont="1" applyAlignment="1">
      <alignment horizontal="right"/>
    </xf>
    <xf numFmtId="0" fontId="5" fillId="0" borderId="0" xfId="0" applyFont="1"/>
    <xf numFmtId="0" fontId="3" fillId="0" borderId="0" xfId="0" applyFont="1" applyAlignment="1">
      <alignment horizontal="center"/>
    </xf>
    <xf numFmtId="0" fontId="7" fillId="0" borderId="0" xfId="0" applyFont="1" applyAlignment="1">
      <alignment horizontal="center"/>
    </xf>
    <xf numFmtId="0" fontId="5" fillId="0" borderId="0" xfId="0" applyFont="1" applyAlignment="1">
      <alignment horizontal="center"/>
    </xf>
    <xf numFmtId="0" fontId="8" fillId="0" borderId="0" xfId="121" applyBorder="1" applyAlignment="1" applyProtection="1">
      <alignment horizontal="center"/>
    </xf>
    <xf numFmtId="49" fontId="5" fillId="0" borderId="0" xfId="0" applyNumberFormat="1" applyFont="1" applyAlignment="1">
      <alignment horizontal="right"/>
    </xf>
    <xf numFmtId="0" fontId="0" fillId="0" borderId="0" xfId="0" applyAlignment="1">
      <alignment horizontal="right"/>
    </xf>
    <xf numFmtId="0" fontId="5" fillId="0" borderId="0" xfId="0" applyFont="1" applyAlignment="1">
      <alignment horizontal="left"/>
    </xf>
    <xf numFmtId="49" fontId="0" fillId="0" borderId="0" xfId="0" applyNumberFormat="1"/>
    <xf numFmtId="3" fontId="5" fillId="0" borderId="0" xfId="0" applyNumberFormat="1" applyFont="1"/>
    <xf numFmtId="0" fontId="9" fillId="0" borderId="0" xfId="0" applyFont="1" applyAlignment="1">
      <alignment horizontal="center"/>
    </xf>
    <xf numFmtId="0" fontId="7" fillId="0" borderId="0" xfId="0" applyFont="1"/>
    <xf numFmtId="0" fontId="0" fillId="0" borderId="0" xfId="0" applyAlignment="1">
      <alignment horizontal="left"/>
    </xf>
    <xf numFmtId="0" fontId="3" fillId="0" borderId="0" xfId="0" applyFont="1" applyAlignment="1">
      <alignment horizontal="left"/>
    </xf>
    <xf numFmtId="164" fontId="0" fillId="0" borderId="0" xfId="0" applyNumberFormat="1"/>
    <xf numFmtId="164" fontId="3" fillId="0" borderId="0" xfId="0" applyNumberFormat="1" applyFont="1"/>
    <xf numFmtId="3" fontId="0" fillId="0" borderId="0" xfId="0" applyNumberFormat="1" applyAlignment="1">
      <alignment horizontal="right"/>
    </xf>
    <xf numFmtId="49" fontId="3" fillId="0" borderId="0" xfId="0" applyNumberFormat="1" applyFont="1" applyAlignment="1">
      <alignment horizontal="right"/>
    </xf>
    <xf numFmtId="0" fontId="0" fillId="24" borderId="0" xfId="0" applyFill="1"/>
    <xf numFmtId="3" fontId="3" fillId="0" borderId="0" xfId="0" applyNumberFormat="1" applyFont="1"/>
    <xf numFmtId="0" fontId="0" fillId="0" borderId="18" xfId="0" applyBorder="1"/>
    <xf numFmtId="0" fontId="8" fillId="0" borderId="0" xfId="121" applyFill="1" applyBorder="1" applyAlignment="1" applyProtection="1"/>
    <xf numFmtId="0" fontId="3" fillId="0" borderId="26" xfId="0" applyFont="1" applyBorder="1" applyAlignment="1">
      <alignment horizontal="center"/>
    </xf>
    <xf numFmtId="166" fontId="3" fillId="0" borderId="27" xfId="0" applyNumberFormat="1" applyFont="1" applyBorder="1" applyAlignment="1">
      <alignment horizontal="center"/>
    </xf>
    <xf numFmtId="49" fontId="7" fillId="0" borderId="0" xfId="0" applyNumberFormat="1" applyFont="1" applyAlignment="1">
      <alignment horizontal="right"/>
    </xf>
    <xf numFmtId="49" fontId="7" fillId="0" borderId="0" xfId="0" applyNumberFormat="1" applyFont="1"/>
    <xf numFmtId="3" fontId="7" fillId="0" borderId="0" xfId="0" applyNumberFormat="1" applyFont="1" applyAlignment="1">
      <alignment horizontal="right"/>
    </xf>
    <xf numFmtId="164" fontId="7" fillId="0" borderId="0" xfId="0" applyNumberFormat="1" applyFont="1" applyAlignment="1">
      <alignment horizontal="right"/>
    </xf>
    <xf numFmtId="0" fontId="1" fillId="0" borderId="0" xfId="121" applyFont="1" applyBorder="1" applyAlignment="1" applyProtection="1">
      <alignment horizontal="left"/>
    </xf>
    <xf numFmtId="0" fontId="22" fillId="0" borderId="0" xfId="0" applyFont="1"/>
    <xf numFmtId="49" fontId="12" fillId="0" borderId="0" xfId="0" applyNumberFormat="1" applyFont="1"/>
    <xf numFmtId="49" fontId="11" fillId="0" borderId="0" xfId="0" applyNumberFormat="1" applyFont="1"/>
    <xf numFmtId="49" fontId="22" fillId="0" borderId="0" xfId="0" applyNumberFormat="1" applyFont="1"/>
    <xf numFmtId="49" fontId="5" fillId="0" borderId="0" xfId="0" applyNumberFormat="1" applyFont="1"/>
    <xf numFmtId="49" fontId="6" fillId="0" borderId="0" xfId="0" applyNumberFormat="1" applyFont="1"/>
    <xf numFmtId="0" fontId="12" fillId="0" borderId="0" xfId="0" applyFont="1"/>
    <xf numFmtId="0" fontId="6" fillId="0" borderId="0" xfId="0" applyFont="1"/>
    <xf numFmtId="0" fontId="5" fillId="0" borderId="0" xfId="121" applyFont="1" applyAlignment="1" applyProtection="1"/>
    <xf numFmtId="0" fontId="3" fillId="0" borderId="28" xfId="0" applyFont="1" applyBorder="1" applyAlignment="1">
      <alignment horizontal="center" vertical="center"/>
    </xf>
    <xf numFmtId="166" fontId="3" fillId="0" borderId="29" xfId="0" applyNumberFormat="1" applyFont="1" applyBorder="1" applyAlignment="1">
      <alignment horizontal="center" vertical="center"/>
    </xf>
    <xf numFmtId="0" fontId="11" fillId="0" borderId="0" xfId="0" applyFont="1"/>
    <xf numFmtId="1" fontId="7" fillId="0" borderId="0" xfId="0" applyNumberFormat="1" applyFont="1"/>
    <xf numFmtId="3" fontId="21" fillId="0" borderId="0" xfId="0" applyNumberFormat="1" applyFont="1" applyAlignment="1">
      <alignment horizontal="right"/>
    </xf>
    <xf numFmtId="49" fontId="21" fillId="0" borderId="0" xfId="0" applyNumberFormat="1" applyFont="1"/>
    <xf numFmtId="3" fontId="26" fillId="0" borderId="0" xfId="0" applyNumberFormat="1" applyFont="1" applyAlignment="1">
      <alignment horizontal="right"/>
    </xf>
    <xf numFmtId="0" fontId="21" fillId="0" borderId="0" xfId="0" applyFont="1"/>
    <xf numFmtId="164" fontId="15" fillId="0" borderId="0" xfId="0" applyNumberFormat="1" applyFont="1"/>
    <xf numFmtId="0" fontId="5" fillId="0" borderId="0" xfId="0" applyFont="1" applyAlignment="1">
      <alignment horizontal="right"/>
    </xf>
    <xf numFmtId="0" fontId="0" fillId="0" borderId="0" xfId="0" applyProtection="1">
      <protection locked="0"/>
    </xf>
    <xf numFmtId="0" fontId="30" fillId="0" borderId="0" xfId="286" quotePrefix="1" applyFont="1"/>
    <xf numFmtId="3" fontId="30" fillId="0" borderId="0" xfId="286" quotePrefix="1" applyNumberFormat="1" applyFont="1"/>
    <xf numFmtId="0" fontId="30" fillId="0" borderId="0" xfId="0" applyFont="1"/>
    <xf numFmtId="0" fontId="3" fillId="42" borderId="6" xfId="0" applyFont="1" applyFill="1" applyBorder="1"/>
    <xf numFmtId="0" fontId="3" fillId="42" borderId="30" xfId="0" applyFont="1" applyFill="1" applyBorder="1"/>
    <xf numFmtId="49" fontId="0" fillId="0" borderId="0" xfId="0" applyNumberFormat="1" applyAlignment="1">
      <alignment horizontal="right"/>
    </xf>
    <xf numFmtId="0" fontId="9" fillId="24" borderId="0" xfId="0" applyFont="1" applyFill="1" applyAlignment="1">
      <alignment horizontal="center"/>
    </xf>
    <xf numFmtId="0" fontId="20" fillId="0" borderId="0" xfId="0" applyFont="1"/>
    <xf numFmtId="49" fontId="3" fillId="0" borderId="0" xfId="0" applyNumberFormat="1" applyFont="1"/>
    <xf numFmtId="49" fontId="16" fillId="0" borderId="0" xfId="0" applyNumberFormat="1" applyFont="1"/>
    <xf numFmtId="164" fontId="5" fillId="0" borderId="0" xfId="0" applyNumberFormat="1" applyFont="1"/>
    <xf numFmtId="0" fontId="0" fillId="0" borderId="31" xfId="0" applyBorder="1"/>
    <xf numFmtId="0" fontId="0" fillId="0" borderId="32" xfId="0" applyBorder="1"/>
    <xf numFmtId="0" fontId="6" fillId="0" borderId="31" xfId="0" applyFont="1" applyBorder="1"/>
    <xf numFmtId="0" fontId="6" fillId="0" borderId="33" xfId="0" applyFont="1" applyBorder="1"/>
    <xf numFmtId="0" fontId="0" fillId="0" borderId="33" xfId="0" applyBorder="1"/>
    <xf numFmtId="0" fontId="0" fillId="0" borderId="34" xfId="0" applyBorder="1"/>
    <xf numFmtId="0" fontId="4" fillId="0" borderId="0" xfId="0" applyFont="1"/>
    <xf numFmtId="0" fontId="3" fillId="0" borderId="32" xfId="0" applyFont="1" applyBorder="1" applyAlignment="1">
      <alignment horizontal="right"/>
    </xf>
    <xf numFmtId="0" fontId="3" fillId="0" borderId="35" xfId="0" applyFont="1" applyBorder="1" applyAlignment="1">
      <alignment horizontal="right"/>
    </xf>
    <xf numFmtId="0" fontId="5" fillId="0" borderId="32" xfId="0" applyFont="1" applyBorder="1" applyAlignment="1">
      <alignment horizontal="right"/>
    </xf>
    <xf numFmtId="0" fontId="0" fillId="0" borderId="35" xfId="0" applyBorder="1" applyAlignment="1">
      <alignment horizontal="right"/>
    </xf>
    <xf numFmtId="0" fontId="0" fillId="0" borderId="32" xfId="0" applyBorder="1" applyAlignment="1">
      <alignment horizontal="right"/>
    </xf>
    <xf numFmtId="0" fontId="0" fillId="0" borderId="33" xfId="0" applyBorder="1" applyAlignment="1">
      <alignment horizontal="right"/>
    </xf>
    <xf numFmtId="0" fontId="3" fillId="0" borderId="31" xfId="0" applyFont="1" applyBorder="1" applyAlignment="1">
      <alignment horizontal="right"/>
    </xf>
    <xf numFmtId="0" fontId="0" fillId="0" borderId="31" xfId="0" applyBorder="1" applyAlignment="1">
      <alignment horizontal="right"/>
    </xf>
    <xf numFmtId="0" fontId="3" fillId="0" borderId="34" xfId="0" applyFont="1" applyBorder="1" applyAlignment="1">
      <alignment horizontal="right"/>
    </xf>
    <xf numFmtId="0" fontId="5" fillId="0" borderId="27" xfId="0" applyFont="1" applyBorder="1"/>
    <xf numFmtId="0" fontId="9" fillId="42" borderId="36" xfId="0" applyFont="1" applyFill="1" applyBorder="1" applyAlignment="1">
      <alignment horizontal="left"/>
    </xf>
    <xf numFmtId="0" fontId="9" fillId="42" borderId="6" xfId="0" applyFont="1" applyFill="1" applyBorder="1" applyAlignment="1">
      <alignment horizontal="left"/>
    </xf>
    <xf numFmtId="0" fontId="9" fillId="42" borderId="6" xfId="0" applyFont="1" applyFill="1" applyBorder="1" applyAlignment="1">
      <alignment horizontal="center"/>
    </xf>
    <xf numFmtId="0" fontId="0" fillId="42" borderId="6" xfId="0" applyFill="1" applyBorder="1"/>
    <xf numFmtId="0" fontId="1" fillId="42" borderId="30" xfId="0" applyFont="1" applyFill="1" applyBorder="1"/>
    <xf numFmtId="0" fontId="0" fillId="24" borderId="37" xfId="0" applyFill="1" applyBorder="1"/>
    <xf numFmtId="0" fontId="0" fillId="24" borderId="38" xfId="0" applyFill="1" applyBorder="1"/>
    <xf numFmtId="0" fontId="3" fillId="24" borderId="0" xfId="0" applyFont="1" applyFill="1" applyAlignment="1">
      <alignment horizontal="right"/>
    </xf>
    <xf numFmtId="0" fontId="23" fillId="24" borderId="0" xfId="0" applyFont="1" applyFill="1" applyAlignment="1">
      <alignment horizontal="center" vertical="center"/>
    </xf>
    <xf numFmtId="0" fontId="23" fillId="24" borderId="0" xfId="0" applyFont="1" applyFill="1" applyAlignment="1">
      <alignment horizontal="left" vertical="center"/>
    </xf>
    <xf numFmtId="166" fontId="3" fillId="24" borderId="0" xfId="0" applyNumberFormat="1" applyFont="1" applyFill="1" applyAlignment="1">
      <alignment horizontal="center"/>
    </xf>
    <xf numFmtId="0" fontId="12" fillId="0" borderId="0" xfId="0" applyFont="1" applyAlignment="1">
      <alignment horizontal="right"/>
    </xf>
    <xf numFmtId="0" fontId="7" fillId="0" borderId="39" xfId="0" applyFont="1" applyBorder="1"/>
    <xf numFmtId="0" fontId="7" fillId="0" borderId="26" xfId="0" applyFont="1" applyBorder="1"/>
    <xf numFmtId="0" fontId="0" fillId="0" borderId="26" xfId="0" applyBorder="1"/>
    <xf numFmtId="0" fontId="12" fillId="0" borderId="26" xfId="0" applyFont="1" applyBorder="1" applyAlignment="1">
      <alignment horizontal="center"/>
    </xf>
    <xf numFmtId="0" fontId="7" fillId="0" borderId="40" xfId="0" applyFont="1" applyBorder="1"/>
    <xf numFmtId="0" fontId="7" fillId="0" borderId="38" xfId="0" applyFont="1" applyBorder="1"/>
    <xf numFmtId="0" fontId="5" fillId="0" borderId="41" xfId="0" applyFont="1" applyBorder="1"/>
    <xf numFmtId="0" fontId="5" fillId="0" borderId="27" xfId="0" applyFont="1" applyBorder="1" applyAlignment="1">
      <alignment horizontal="center"/>
    </xf>
    <xf numFmtId="0" fontId="7" fillId="0" borderId="27" xfId="0" applyFont="1" applyBorder="1" applyAlignment="1">
      <alignment horizontal="center"/>
    </xf>
    <xf numFmtId="0" fontId="0" fillId="0" borderId="27" xfId="0" applyBorder="1"/>
    <xf numFmtId="0" fontId="5" fillId="0" borderId="42" xfId="0" applyFont="1" applyBorder="1"/>
    <xf numFmtId="0" fontId="5" fillId="0" borderId="38" xfId="0" applyFont="1" applyBorder="1"/>
    <xf numFmtId="0" fontId="8" fillId="0" borderId="0" xfId="121" applyFill="1" applyBorder="1" applyAlignment="1" applyProtection="1">
      <alignment horizontal="center"/>
    </xf>
    <xf numFmtId="0" fontId="17" fillId="0" borderId="0" xfId="0" applyFont="1"/>
    <xf numFmtId="0" fontId="7" fillId="0" borderId="0" xfId="121" applyFont="1" applyFill="1" applyAlignment="1" applyProtection="1"/>
    <xf numFmtId="169" fontId="7" fillId="0" borderId="0" xfId="0" applyNumberFormat="1" applyFont="1"/>
    <xf numFmtId="170" fontId="7" fillId="0" borderId="0" xfId="0" applyNumberFormat="1" applyFont="1"/>
    <xf numFmtId="3" fontId="7" fillId="0" borderId="0" xfId="0" applyNumberFormat="1" applyFont="1"/>
    <xf numFmtId="3" fontId="5" fillId="0" borderId="0" xfId="0" applyNumberFormat="1" applyFont="1" applyAlignment="1">
      <alignment horizontal="left"/>
    </xf>
    <xf numFmtId="3" fontId="5" fillId="0" borderId="0" xfId="0" applyNumberFormat="1" applyFont="1" applyAlignment="1">
      <alignment horizontal="right"/>
    </xf>
    <xf numFmtId="0" fontId="7" fillId="0" borderId="0" xfId="0" applyFont="1" applyAlignment="1">
      <alignment horizontal="right"/>
    </xf>
    <xf numFmtId="164" fontId="7" fillId="0" borderId="0" xfId="0" applyNumberFormat="1" applyFont="1"/>
    <xf numFmtId="3" fontId="7" fillId="0" borderId="0" xfId="0" applyNumberFormat="1" applyFont="1" applyAlignment="1">
      <alignment horizontal="left"/>
    </xf>
    <xf numFmtId="1" fontId="11" fillId="0" borderId="0" xfId="0" applyNumberFormat="1" applyFont="1"/>
    <xf numFmtId="0" fontId="7" fillId="0" borderId="0" xfId="0" applyFont="1" applyAlignment="1">
      <alignment horizontal="left"/>
    </xf>
    <xf numFmtId="164" fontId="12" fillId="0" borderId="0" xfId="0" applyNumberFormat="1" applyFont="1"/>
    <xf numFmtId="164" fontId="7" fillId="0" borderId="0" xfId="0" applyNumberFormat="1" applyFont="1" applyAlignment="1">
      <alignment horizontal="left"/>
    </xf>
    <xf numFmtId="49" fontId="12" fillId="0" borderId="0" xfId="0" applyNumberFormat="1" applyFont="1" applyAlignment="1">
      <alignment horizontal="right"/>
    </xf>
    <xf numFmtId="0" fontId="12" fillId="0" borderId="0" xfId="0" applyFont="1" applyAlignment="1">
      <alignment horizontal="left"/>
    </xf>
    <xf numFmtId="164" fontId="5" fillId="0" borderId="0" xfId="0" applyNumberFormat="1" applyFont="1" applyAlignment="1">
      <alignment horizontal="right"/>
    </xf>
    <xf numFmtId="3" fontId="21" fillId="0" borderId="0" xfId="0" applyNumberFormat="1" applyFont="1"/>
    <xf numFmtId="49" fontId="13" fillId="0" borderId="0" xfId="0" applyNumberFormat="1" applyFont="1"/>
    <xf numFmtId="3" fontId="10" fillId="0" borderId="0" xfId="0" applyNumberFormat="1" applyFont="1" applyAlignment="1">
      <alignment horizontal="right"/>
    </xf>
    <xf numFmtId="3" fontId="26" fillId="0" borderId="0" xfId="0" applyNumberFormat="1" applyFont="1"/>
    <xf numFmtId="3" fontId="12" fillId="0" borderId="0" xfId="0" applyNumberFormat="1" applyFont="1" applyAlignment="1">
      <alignment horizontal="right"/>
    </xf>
    <xf numFmtId="3" fontId="3" fillId="0" borderId="0" xfId="0" applyNumberFormat="1" applyFont="1" applyAlignment="1">
      <alignment horizontal="right"/>
    </xf>
    <xf numFmtId="3" fontId="27" fillId="0" borderId="0" xfId="0" applyNumberFormat="1" applyFont="1"/>
    <xf numFmtId="49" fontId="17" fillId="0" borderId="0" xfId="0" applyNumberFormat="1" applyFont="1"/>
    <xf numFmtId="49" fontId="4" fillId="0" borderId="0" xfId="0" applyNumberFormat="1" applyFont="1" applyAlignment="1">
      <alignment horizontal="center"/>
    </xf>
    <xf numFmtId="168" fontId="0" fillId="0" borderId="0" xfId="0" applyNumberFormat="1"/>
    <xf numFmtId="0" fontId="3" fillId="24" borderId="26" xfId="0" applyFont="1" applyFill="1" applyBorder="1" applyAlignment="1">
      <alignment horizontal="right"/>
    </xf>
    <xf numFmtId="0" fontId="7" fillId="24" borderId="26" xfId="0" applyFont="1" applyFill="1" applyBorder="1"/>
    <xf numFmtId="49" fontId="12" fillId="24" borderId="26" xfId="0" applyNumberFormat="1" applyFont="1" applyFill="1" applyBorder="1"/>
    <xf numFmtId="49" fontId="12" fillId="24" borderId="0" xfId="0" applyNumberFormat="1" applyFont="1" applyFill="1" applyAlignment="1">
      <alignment horizontal="right" vertical="center"/>
    </xf>
    <xf numFmtId="49" fontId="23" fillId="24" borderId="0" xfId="0" applyNumberFormat="1" applyFont="1" applyFill="1" applyAlignment="1">
      <alignment vertical="center"/>
    </xf>
    <xf numFmtId="49" fontId="7" fillId="24" borderId="0" xfId="0" applyNumberFormat="1" applyFont="1" applyFill="1" applyAlignment="1">
      <alignment vertical="center"/>
    </xf>
    <xf numFmtId="0" fontId="7" fillId="24" borderId="0" xfId="0" applyFont="1" applyFill="1" applyAlignment="1">
      <alignment vertical="center"/>
    </xf>
    <xf numFmtId="0" fontId="14" fillId="24" borderId="0" xfId="0" applyFont="1" applyFill="1"/>
    <xf numFmtId="0" fontId="21" fillId="24" borderId="0" xfId="0" applyFont="1" applyFill="1"/>
    <xf numFmtId="0" fontId="14" fillId="24" borderId="0" xfId="0" applyFont="1" applyFill="1" applyAlignment="1">
      <alignment horizontal="left"/>
    </xf>
    <xf numFmtId="49" fontId="23" fillId="24" borderId="0" xfId="0" applyNumberFormat="1" applyFont="1" applyFill="1"/>
    <xf numFmtId="0" fontId="23" fillId="24" borderId="0" xfId="0" applyFont="1" applyFill="1"/>
    <xf numFmtId="0" fontId="5" fillId="29" borderId="0" xfId="0" applyFont="1" applyFill="1"/>
    <xf numFmtId="0" fontId="0" fillId="0" borderId="0" xfId="0" applyAlignment="1">
      <alignment vertical="center"/>
    </xf>
    <xf numFmtId="49" fontId="3" fillId="0" borderId="0" xfId="0" applyNumberFormat="1" applyFont="1" applyAlignment="1">
      <alignment horizontal="right" vertical="center"/>
    </xf>
    <xf numFmtId="0" fontId="3" fillId="0" borderId="0" xfId="0" applyFont="1" applyAlignment="1">
      <alignment vertical="center"/>
    </xf>
    <xf numFmtId="0" fontId="0" fillId="0" borderId="0" xfId="0" applyAlignment="1">
      <alignment horizontal="right" vertical="center"/>
    </xf>
    <xf numFmtId="49" fontId="7" fillId="0" borderId="0" xfId="0" applyNumberFormat="1" applyFont="1" applyAlignment="1">
      <alignment horizontal="right" vertical="center"/>
    </xf>
    <xf numFmtId="49" fontId="7" fillId="0" borderId="0" xfId="0" applyNumberFormat="1" applyFont="1" applyAlignment="1">
      <alignment vertical="center"/>
    </xf>
    <xf numFmtId="0" fontId="7" fillId="0" borderId="0" xfId="0" applyFont="1" applyAlignment="1">
      <alignment vertical="center"/>
    </xf>
    <xf numFmtId="0" fontId="2" fillId="0" borderId="0" xfId="0" applyFont="1" applyAlignment="1">
      <alignment horizontal="left"/>
    </xf>
    <xf numFmtId="0" fontId="3" fillId="0" borderId="0" xfId="0" applyFont="1" applyAlignment="1">
      <alignment horizontal="left" vertical="center"/>
    </xf>
    <xf numFmtId="0" fontId="0" fillId="0" borderId="0" xfId="0" applyProtection="1">
      <protection hidden="1"/>
    </xf>
    <xf numFmtId="0" fontId="3" fillId="0" borderId="0" xfId="0" applyFont="1" applyProtection="1">
      <protection hidden="1"/>
    </xf>
    <xf numFmtId="0" fontId="32" fillId="0" borderId="0" xfId="0" applyFont="1" applyProtection="1">
      <protection hidden="1"/>
    </xf>
    <xf numFmtId="0" fontId="5" fillId="0" borderId="0" xfId="0" applyFont="1" applyProtection="1">
      <protection hidden="1"/>
    </xf>
    <xf numFmtId="0" fontId="5" fillId="0" borderId="0" xfId="0" applyFont="1" applyAlignment="1">
      <alignment vertical="center"/>
    </xf>
    <xf numFmtId="0" fontId="0" fillId="0" borderId="34" xfId="0" applyBorder="1" applyAlignment="1">
      <alignment horizontal="right"/>
    </xf>
    <xf numFmtId="168" fontId="5" fillId="0" borderId="0" xfId="0" applyNumberFormat="1" applyFont="1"/>
    <xf numFmtId="0" fontId="12" fillId="0" borderId="0" xfId="0" applyFont="1" applyAlignment="1">
      <alignment horizontal="center"/>
    </xf>
    <xf numFmtId="0" fontId="7" fillId="0" borderId="37" xfId="0" applyFont="1" applyBorder="1"/>
    <xf numFmtId="49" fontId="33" fillId="24" borderId="26" xfId="0" applyNumberFormat="1" applyFont="1" applyFill="1" applyBorder="1" applyAlignment="1">
      <alignment vertical="center"/>
    </xf>
    <xf numFmtId="0" fontId="34" fillId="24" borderId="0" xfId="0" applyFont="1" applyFill="1"/>
    <xf numFmtId="164" fontId="21" fillId="0" borderId="0" xfId="0" applyNumberFormat="1" applyFont="1"/>
    <xf numFmtId="49" fontId="20" fillId="0" borderId="0" xfId="0" applyNumberFormat="1" applyFont="1"/>
    <xf numFmtId="49" fontId="15" fillId="0" borderId="0" xfId="0" applyNumberFormat="1" applyFont="1"/>
    <xf numFmtId="168" fontId="7" fillId="0" borderId="0" xfId="0" applyNumberFormat="1" applyFont="1"/>
    <xf numFmtId="49" fontId="7" fillId="24" borderId="0" xfId="0" applyNumberFormat="1" applyFont="1" applyFill="1" applyAlignment="1">
      <alignment horizontal="right" vertical="center"/>
    </xf>
    <xf numFmtId="49" fontId="12" fillId="24" borderId="0" xfId="0" applyNumberFormat="1" applyFont="1" applyFill="1"/>
    <xf numFmtId="0" fontId="7" fillId="24" borderId="0" xfId="0" applyFont="1" applyFill="1"/>
    <xf numFmtId="49" fontId="11" fillId="24" borderId="0" xfId="0" applyNumberFormat="1" applyFont="1" applyFill="1"/>
    <xf numFmtId="49" fontId="12" fillId="0" borderId="0" xfId="0" applyNumberFormat="1" applyFont="1" applyAlignment="1">
      <alignment vertical="center"/>
    </xf>
    <xf numFmtId="49" fontId="3" fillId="0" borderId="0" xfId="0" applyNumberFormat="1" applyFont="1" applyAlignment="1">
      <alignment horizontal="center"/>
    </xf>
    <xf numFmtId="49" fontId="26" fillId="0" borderId="0" xfId="0" applyNumberFormat="1" applyFont="1"/>
    <xf numFmtId="168" fontId="20" fillId="0" borderId="0" xfId="0" applyNumberFormat="1" applyFont="1"/>
    <xf numFmtId="3" fontId="20" fillId="0" borderId="0" xfId="0" applyNumberFormat="1" applyFont="1"/>
    <xf numFmtId="3" fontId="31" fillId="0" borderId="0" xfId="0" applyNumberFormat="1" applyFont="1"/>
    <xf numFmtId="169" fontId="5" fillId="0" borderId="0" xfId="0" applyNumberFormat="1" applyFont="1"/>
    <xf numFmtId="3" fontId="5" fillId="0" borderId="0" xfId="286" quotePrefix="1" applyNumberFormat="1"/>
    <xf numFmtId="0" fontId="35" fillId="0" borderId="0" xfId="0" applyFont="1"/>
    <xf numFmtId="3" fontId="0" fillId="43" borderId="15" xfId="0" applyNumberFormat="1" applyFill="1" applyBorder="1" applyProtection="1">
      <protection locked="0"/>
    </xf>
    <xf numFmtId="3" fontId="0" fillId="43" borderId="15" xfId="0" applyNumberFormat="1" applyFill="1" applyBorder="1" applyAlignment="1" applyProtection="1">
      <alignment vertical="center"/>
      <protection locked="0"/>
    </xf>
    <xf numFmtId="164" fontId="3" fillId="0" borderId="0" xfId="0" applyNumberFormat="1" applyFont="1" applyAlignment="1">
      <alignment vertical="center"/>
    </xf>
    <xf numFmtId="168" fontId="0" fillId="43" borderId="15" xfId="0" applyNumberFormat="1" applyFill="1" applyBorder="1" applyProtection="1">
      <protection locked="0"/>
    </xf>
    <xf numFmtId="0" fontId="3" fillId="0" borderId="0" xfId="0" applyFont="1" applyAlignment="1">
      <alignment horizontal="center" vertical="center"/>
    </xf>
    <xf numFmtId="3" fontId="5" fillId="31" borderId="0" xfId="0" applyNumberFormat="1" applyFont="1" applyFill="1"/>
    <xf numFmtId="3" fontId="10" fillId="31" borderId="0" xfId="0" applyNumberFormat="1" applyFont="1" applyFill="1"/>
    <xf numFmtId="3" fontId="5" fillId="43" borderId="15" xfId="0" applyNumberFormat="1" applyFont="1" applyFill="1" applyBorder="1" applyProtection="1">
      <protection locked="0"/>
    </xf>
    <xf numFmtId="3" fontId="5" fillId="43" borderId="15" xfId="0" applyNumberFormat="1" applyFont="1" applyFill="1" applyBorder="1" applyAlignment="1" applyProtection="1">
      <alignment vertical="center"/>
      <protection locked="0"/>
    </xf>
    <xf numFmtId="173" fontId="0" fillId="0" borderId="0" xfId="75" applyNumberFormat="1" applyFont="1"/>
    <xf numFmtId="3" fontId="3" fillId="44" borderId="0" xfId="0" applyNumberFormat="1" applyFont="1" applyFill="1"/>
    <xf numFmtId="168" fontId="5" fillId="0" borderId="0" xfId="311" quotePrefix="1" applyNumberFormat="1"/>
    <xf numFmtId="0" fontId="0" fillId="45" borderId="0" xfId="0" applyFill="1"/>
    <xf numFmtId="0" fontId="19" fillId="0" borderId="0" xfId="0" applyFont="1" applyAlignment="1">
      <alignment horizontal="left" vertical="center"/>
    </xf>
    <xf numFmtId="168" fontId="15" fillId="0" borderId="0" xfId="0" applyNumberFormat="1" applyFont="1"/>
    <xf numFmtId="168" fontId="12" fillId="0" borderId="0" xfId="0" applyNumberFormat="1" applyFont="1"/>
    <xf numFmtId="164" fontId="5" fillId="43" borderId="15" xfId="0" applyNumberFormat="1" applyFont="1" applyFill="1" applyBorder="1" applyAlignment="1" applyProtection="1">
      <alignment vertical="center"/>
      <protection locked="0"/>
    </xf>
    <xf numFmtId="164" fontId="5" fillId="44" borderId="0" xfId="0" applyNumberFormat="1" applyFont="1" applyFill="1"/>
    <xf numFmtId="3" fontId="10" fillId="0" borderId="0" xfId="0" applyNumberFormat="1" applyFont="1" applyAlignment="1">
      <alignment horizontal="center"/>
    </xf>
    <xf numFmtId="3" fontId="5" fillId="0" borderId="0" xfId="0" applyNumberFormat="1" applyFont="1" applyAlignment="1">
      <alignment horizontal="centerContinuous"/>
    </xf>
    <xf numFmtId="0" fontId="0" fillId="0" borderId="43" xfId="0" applyBorder="1"/>
    <xf numFmtId="0" fontId="3" fillId="0" borderId="44" xfId="0" applyFont="1" applyBorder="1" applyAlignment="1">
      <alignment horizontal="right"/>
    </xf>
    <xf numFmtId="0" fontId="5" fillId="0" borderId="43" xfId="0" applyFont="1" applyBorder="1"/>
    <xf numFmtId="0" fontId="5" fillId="0" borderId="45" xfId="0" applyFont="1" applyBorder="1"/>
    <xf numFmtId="0" fontId="0" fillId="0" borderId="46" xfId="0" applyBorder="1"/>
    <xf numFmtId="0" fontId="0" fillId="0" borderId="45" xfId="0" applyBorder="1"/>
    <xf numFmtId="3" fontId="0" fillId="0" borderId="15" xfId="0" applyNumberFormat="1" applyBorder="1"/>
    <xf numFmtId="3" fontId="5" fillId="0" borderId="15" xfId="0" applyNumberFormat="1" applyFont="1" applyBorder="1"/>
    <xf numFmtId="0" fontId="5" fillId="43" borderId="0" xfId="0" applyFont="1" applyFill="1"/>
    <xf numFmtId="3" fontId="5" fillId="43" borderId="0" xfId="0" applyNumberFormat="1" applyFont="1" applyFill="1"/>
    <xf numFmtId="0" fontId="0" fillId="0" borderId="7" xfId="0" applyBorder="1"/>
    <xf numFmtId="0" fontId="32" fillId="0" borderId="0" xfId="0" applyFont="1"/>
    <xf numFmtId="0" fontId="3" fillId="29" borderId="0" xfId="0" applyFont="1" applyFill="1" applyAlignment="1">
      <alignment horizontal="right" vertical="center"/>
    </xf>
    <xf numFmtId="0" fontId="0" fillId="0" borderId="44" xfId="0" applyBorder="1"/>
    <xf numFmtId="0" fontId="0" fillId="0" borderId="47" xfId="0" applyBorder="1"/>
    <xf numFmtId="0" fontId="3" fillId="0" borderId="43" xfId="0" applyFont="1" applyBorder="1" applyAlignment="1">
      <alignment horizontal="left"/>
    </xf>
    <xf numFmtId="0" fontId="0" fillId="0" borderId="48" xfId="0" applyBorder="1"/>
    <xf numFmtId="0" fontId="5" fillId="31" borderId="0" xfId="0" applyFont="1" applyFill="1"/>
    <xf numFmtId="0" fontId="3" fillId="0" borderId="49" xfId="0" applyFont="1" applyBorder="1" applyAlignment="1">
      <alignment horizontal="center"/>
    </xf>
    <xf numFmtId="0" fontId="5" fillId="0" borderId="0" xfId="0" applyFont="1" applyProtection="1">
      <protection locked="0"/>
    </xf>
    <xf numFmtId="0" fontId="0" fillId="43" borderId="15" xfId="0" applyFill="1" applyBorder="1" applyProtection="1">
      <protection locked="0"/>
    </xf>
    <xf numFmtId="0" fontId="3" fillId="44" borderId="0" xfId="0" applyFont="1" applyFill="1"/>
    <xf numFmtId="167" fontId="5" fillId="0" borderId="0" xfId="0" quotePrefix="1" applyNumberFormat="1" applyFont="1" applyAlignment="1">
      <alignment vertical="center"/>
    </xf>
    <xf numFmtId="165" fontId="5" fillId="0" borderId="0" xfId="0" quotePrefix="1" applyNumberFormat="1" applyFont="1" applyAlignment="1">
      <alignment vertical="center"/>
    </xf>
    <xf numFmtId="168" fontId="5" fillId="0" borderId="0" xfId="0" quotePrefix="1" applyNumberFormat="1" applyFont="1" applyAlignment="1">
      <alignment vertical="center"/>
    </xf>
    <xf numFmtId="3" fontId="5" fillId="0" borderId="0" xfId="0" quotePrefix="1" applyNumberFormat="1" applyFont="1"/>
    <xf numFmtId="165" fontId="0" fillId="0" borderId="0" xfId="0" applyNumberFormat="1"/>
    <xf numFmtId="0" fontId="3" fillId="0" borderId="18" xfId="0" applyFont="1" applyBorder="1" applyAlignment="1">
      <alignment horizontal="right"/>
    </xf>
    <xf numFmtId="171" fontId="30" fillId="0" borderId="0" xfId="0" applyNumberFormat="1" applyFont="1"/>
    <xf numFmtId="168" fontId="0" fillId="0" borderId="0" xfId="0" quotePrefix="1" applyNumberFormat="1" applyAlignment="1">
      <alignment vertical="center"/>
    </xf>
    <xf numFmtId="3" fontId="5" fillId="44" borderId="0" xfId="0" applyNumberFormat="1" applyFont="1" applyFill="1"/>
    <xf numFmtId="168" fontId="0" fillId="43" borderId="15" xfId="0" applyNumberFormat="1" applyFill="1" applyBorder="1" applyAlignment="1" applyProtection="1">
      <alignment vertical="center"/>
      <protection locked="0"/>
    </xf>
    <xf numFmtId="0" fontId="5" fillId="0" borderId="0" xfId="0" quotePrefix="1" applyFont="1"/>
    <xf numFmtId="0" fontId="5" fillId="0" borderId="0" xfId="288" applyAlignment="1">
      <alignment vertical="center"/>
    </xf>
    <xf numFmtId="0" fontId="3" fillId="0" borderId="0" xfId="288" applyFont="1" applyAlignment="1">
      <alignment vertical="center"/>
    </xf>
    <xf numFmtId="0" fontId="5" fillId="0" borderId="50" xfId="288" applyBorder="1" applyAlignment="1">
      <alignment vertical="center"/>
    </xf>
    <xf numFmtId="0" fontId="5" fillId="29" borderId="0" xfId="492" applyFont="1" applyFill="1" applyAlignment="1">
      <alignment vertical="center"/>
    </xf>
    <xf numFmtId="0" fontId="4" fillId="0" borderId="0" xfId="270" applyFont="1" applyAlignment="1">
      <alignment vertical="center"/>
    </xf>
    <xf numFmtId="0" fontId="3" fillId="0" borderId="0" xfId="270" applyFont="1" applyAlignment="1">
      <alignment horizontal="left" vertical="center"/>
    </xf>
    <xf numFmtId="0" fontId="5" fillId="0" borderId="0" xfId="270" applyFont="1" applyAlignment="1">
      <alignment horizontal="left" vertical="center" indent="1"/>
    </xf>
    <xf numFmtId="0" fontId="3" fillId="0" borderId="0" xfId="270" applyFont="1" applyAlignment="1">
      <alignment vertical="center"/>
    </xf>
    <xf numFmtId="167" fontId="3" fillId="0" borderId="0" xfId="0" quotePrefix="1" applyNumberFormat="1" applyFont="1" applyAlignment="1">
      <alignment vertical="center"/>
    </xf>
    <xf numFmtId="0" fontId="3" fillId="0" borderId="0" xfId="270" applyFont="1" applyAlignment="1">
      <alignment horizontal="left" vertical="center" indent="1"/>
    </xf>
    <xf numFmtId="165" fontId="10" fillId="0" borderId="0" xfId="0" quotePrefix="1" applyNumberFormat="1" applyFont="1" applyAlignment="1">
      <alignment vertical="center"/>
    </xf>
    <xf numFmtId="0" fontId="3" fillId="0" borderId="0" xfId="492" applyFont="1" applyAlignment="1">
      <alignment horizontal="left" vertical="center"/>
    </xf>
    <xf numFmtId="0" fontId="5" fillId="0" borderId="0" xfId="251"/>
    <xf numFmtId="168" fontId="5" fillId="31" borderId="0" xfId="0" quotePrefix="1" applyNumberFormat="1" applyFont="1" applyFill="1" applyAlignment="1">
      <alignment vertical="center"/>
    </xf>
    <xf numFmtId="168" fontId="5" fillId="27" borderId="0" xfId="0" quotePrefix="1" applyNumberFormat="1" applyFont="1" applyFill="1" applyAlignment="1">
      <alignment vertical="center"/>
    </xf>
    <xf numFmtId="168" fontId="5" fillId="27" borderId="0" xfId="311" quotePrefix="1" applyNumberFormat="1" applyFill="1"/>
    <xf numFmtId="3" fontId="5" fillId="27" borderId="0" xfId="0" applyNumberFormat="1" applyFont="1" applyFill="1"/>
    <xf numFmtId="0" fontId="90" fillId="0" borderId="0" xfId="0" applyFont="1"/>
    <xf numFmtId="0" fontId="4" fillId="0" borderId="0" xfId="492" applyFont="1"/>
    <xf numFmtId="0" fontId="5" fillId="0" borderId="0" xfId="492" applyFont="1"/>
    <xf numFmtId="165" fontId="5" fillId="46" borderId="0" xfId="0" quotePrefix="1" applyNumberFormat="1" applyFont="1" applyFill="1" applyAlignment="1">
      <alignment vertical="center"/>
    </xf>
    <xf numFmtId="168" fontId="5" fillId="46" borderId="0" xfId="0" quotePrefix="1" applyNumberFormat="1" applyFont="1" applyFill="1" applyAlignment="1">
      <alignment vertical="center"/>
    </xf>
    <xf numFmtId="0" fontId="3" fillId="31" borderId="0" xfId="0" applyFont="1" applyFill="1"/>
    <xf numFmtId="3" fontId="3" fillId="43" borderId="0" xfId="0" applyNumberFormat="1" applyFont="1" applyFill="1"/>
    <xf numFmtId="0" fontId="3" fillId="43" borderId="0" xfId="0" applyFont="1" applyFill="1"/>
    <xf numFmtId="0" fontId="3" fillId="46" borderId="0" xfId="0" applyFont="1" applyFill="1"/>
    <xf numFmtId="0" fontId="5" fillId="44" borderId="0" xfId="0" applyFont="1" applyFill="1"/>
    <xf numFmtId="0" fontId="5" fillId="27" borderId="0" xfId="0" applyFont="1" applyFill="1"/>
    <xf numFmtId="164" fontId="5" fillId="27" borderId="0" xfId="0" applyNumberFormat="1" applyFont="1" applyFill="1"/>
    <xf numFmtId="0" fontId="5" fillId="46" borderId="0" xfId="0" applyFont="1" applyFill="1"/>
    <xf numFmtId="0" fontId="5" fillId="0" borderId="0" xfId="252"/>
    <xf numFmtId="0" fontId="5" fillId="0" borderId="0" xfId="257"/>
    <xf numFmtId="0" fontId="5" fillId="0" borderId="0" xfId="457"/>
    <xf numFmtId="0" fontId="5" fillId="29" borderId="0" xfId="121" applyFont="1" applyFill="1" applyBorder="1" applyAlignment="1" applyProtection="1">
      <alignment horizontal="left"/>
    </xf>
    <xf numFmtId="0" fontId="5" fillId="0" borderId="0" xfId="286" quotePrefix="1"/>
    <xf numFmtId="0" fontId="5" fillId="0" borderId="0" xfId="333" applyFont="1"/>
    <xf numFmtId="0" fontId="3" fillId="0" borderId="0" xfId="333" applyFont="1"/>
    <xf numFmtId="0" fontId="5" fillId="0" borderId="0" xfId="492" applyFont="1" applyAlignment="1">
      <alignment vertical="center"/>
    </xf>
    <xf numFmtId="168" fontId="5" fillId="44" borderId="0" xfId="286" quotePrefix="1" applyNumberFormat="1" applyFill="1"/>
    <xf numFmtId="168" fontId="5" fillId="44" borderId="0" xfId="311" quotePrefix="1" applyNumberFormat="1" applyFill="1"/>
    <xf numFmtId="168" fontId="5" fillId="44" borderId="0" xfId="309" quotePrefix="1" applyNumberFormat="1" applyFill="1"/>
    <xf numFmtId="3" fontId="5" fillId="44" borderId="0" xfId="286" quotePrefix="1" applyNumberFormat="1" applyFill="1"/>
    <xf numFmtId="3" fontId="5" fillId="43" borderId="0" xfId="286" quotePrefix="1" applyNumberFormat="1" applyFill="1"/>
    <xf numFmtId="3" fontId="3" fillId="43" borderId="0" xfId="286" quotePrefix="1" applyNumberFormat="1" applyFont="1" applyFill="1"/>
    <xf numFmtId="0" fontId="90" fillId="27" borderId="0" xfId="333" applyFont="1" applyFill="1"/>
    <xf numFmtId="0" fontId="70" fillId="27" borderId="0" xfId="333" applyFont="1" applyFill="1"/>
    <xf numFmtId="0" fontId="5" fillId="0" borderId="0" xfId="492" applyFont="1" applyAlignment="1">
      <alignment horizontal="left" vertical="center"/>
    </xf>
    <xf numFmtId="0" fontId="3" fillId="0" borderId="0" xfId="492" applyFont="1" applyAlignment="1">
      <alignment horizontal="left" vertical="center" indent="1"/>
    </xf>
    <xf numFmtId="0" fontId="5" fillId="0" borderId="0" xfId="270" applyFont="1" applyAlignment="1">
      <alignment vertical="center"/>
    </xf>
    <xf numFmtId="165" fontId="5" fillId="0" borderId="0" xfId="0" applyNumberFormat="1" applyFont="1"/>
    <xf numFmtId="165" fontId="5" fillId="0" borderId="0" xfId="0" applyNumberFormat="1" applyFont="1" applyAlignment="1">
      <alignment vertical="center"/>
    </xf>
    <xf numFmtId="165" fontId="5" fillId="0" borderId="0" xfId="505" quotePrefix="1" applyNumberFormat="1" applyFont="1" applyFill="1" applyAlignment="1">
      <alignment vertical="center"/>
    </xf>
    <xf numFmtId="0" fontId="5" fillId="0" borderId="0" xfId="318"/>
    <xf numFmtId="167" fontId="5" fillId="0" borderId="0" xfId="505" quotePrefix="1" applyNumberFormat="1" applyFont="1" applyFill="1" applyAlignment="1">
      <alignment vertical="center"/>
    </xf>
    <xf numFmtId="0" fontId="5" fillId="44" borderId="0" xfId="0" applyFont="1" applyFill="1" applyAlignment="1">
      <alignment vertical="center"/>
    </xf>
    <xf numFmtId="165" fontId="3" fillId="0" borderId="0" xfId="0" quotePrefix="1" applyNumberFormat="1" applyFont="1" applyAlignment="1">
      <alignment vertical="center"/>
    </xf>
    <xf numFmtId="3" fontId="30" fillId="44" borderId="0" xfId="258" applyNumberFormat="1" applyFont="1" applyFill="1"/>
    <xf numFmtId="0" fontId="3" fillId="44" borderId="0" xfId="469" applyFont="1" applyFill="1"/>
    <xf numFmtId="165" fontId="5" fillId="44" borderId="0" xfId="405" quotePrefix="1" applyNumberFormat="1" applyFont="1" applyFill="1" applyAlignment="1">
      <alignment vertical="center"/>
    </xf>
    <xf numFmtId="165" fontId="71" fillId="44" borderId="0" xfId="413" quotePrefix="1" applyNumberFormat="1" applyFont="1" applyFill="1" applyAlignment="1">
      <alignment vertical="center"/>
    </xf>
    <xf numFmtId="0" fontId="3" fillId="43" borderId="0" xfId="492" applyFont="1" applyFill="1" applyAlignment="1">
      <alignment horizontal="left" vertical="center"/>
    </xf>
    <xf numFmtId="0" fontId="72" fillId="43" borderId="0" xfId="437" applyFont="1" applyFill="1" applyAlignment="1">
      <alignment vertical="center"/>
    </xf>
    <xf numFmtId="0" fontId="4" fillId="44" borderId="0" xfId="333" applyFont="1" applyFill="1"/>
    <xf numFmtId="0" fontId="4" fillId="44" borderId="0" xfId="333" applyFont="1" applyFill="1" applyAlignment="1">
      <alignment horizontal="left" vertical="center"/>
    </xf>
    <xf numFmtId="0" fontId="3" fillId="0" borderId="0" xfId="318" applyFont="1"/>
    <xf numFmtId="0" fontId="91" fillId="43" borderId="0" xfId="333" applyFont="1" applyFill="1"/>
    <xf numFmtId="0" fontId="3" fillId="29" borderId="0" xfId="492" applyFont="1" applyFill="1" applyAlignment="1">
      <alignment horizontal="left" vertical="center"/>
    </xf>
    <xf numFmtId="165" fontId="5" fillId="31" borderId="0" xfId="0" quotePrefix="1" applyNumberFormat="1" applyFont="1" applyFill="1" applyAlignment="1">
      <alignment vertical="center"/>
    </xf>
    <xf numFmtId="0" fontId="5" fillId="31" borderId="0" xfId="333" applyFont="1" applyFill="1"/>
    <xf numFmtId="0" fontId="3" fillId="44" borderId="0" xfId="492" applyFont="1" applyFill="1" applyAlignment="1">
      <alignment horizontal="left" vertical="center"/>
    </xf>
    <xf numFmtId="164" fontId="81" fillId="47" borderId="0" xfId="231" applyNumberFormat="1" applyFont="1" applyFill="1"/>
    <xf numFmtId="0" fontId="81" fillId="47" borderId="0" xfId="231" applyFont="1" applyFill="1"/>
    <xf numFmtId="0" fontId="5" fillId="0" borderId="0" xfId="231" applyAlignment="1">
      <alignment vertical="center"/>
    </xf>
    <xf numFmtId="0" fontId="5" fillId="44" borderId="0" xfId="231" applyFill="1" applyAlignment="1">
      <alignment vertical="center"/>
    </xf>
    <xf numFmtId="0" fontId="5" fillId="0" borderId="51" xfId="288" applyBorder="1" applyAlignment="1">
      <alignment vertical="center"/>
    </xf>
    <xf numFmtId="0" fontId="5" fillId="29" borderId="0" xfId="287" applyFont="1" applyFill="1" applyAlignment="1">
      <alignment horizontal="left" vertical="center"/>
    </xf>
    <xf numFmtId="0" fontId="5" fillId="29" borderId="0" xfId="492" applyFont="1" applyFill="1" applyAlignment="1">
      <alignment horizontal="left" vertical="center"/>
    </xf>
    <xf numFmtId="0" fontId="3" fillId="24" borderId="0" xfId="492" applyFont="1" applyFill="1" applyAlignment="1">
      <alignment horizontal="left" vertical="center"/>
    </xf>
    <xf numFmtId="165" fontId="5" fillId="0" borderId="0" xfId="0" quotePrefix="1" applyNumberFormat="1" applyFont="1"/>
    <xf numFmtId="0" fontId="3" fillId="29" borderId="0" xfId="492" applyFont="1" applyFill="1" applyAlignment="1">
      <alignment horizontal="left" vertical="center" indent="2"/>
    </xf>
    <xf numFmtId="0" fontId="5" fillId="0" borderId="0" xfId="0" applyFont="1" applyAlignment="1" applyProtection="1">
      <alignment vertical="center"/>
      <protection hidden="1"/>
    </xf>
    <xf numFmtId="165" fontId="10" fillId="0" borderId="0" xfId="0" quotePrefix="1" applyNumberFormat="1" applyFont="1"/>
    <xf numFmtId="167" fontId="3" fillId="0" borderId="0" xfId="0" quotePrefix="1" applyNumberFormat="1" applyFont="1"/>
    <xf numFmtId="165" fontId="3" fillId="0" borderId="0" xfId="0" quotePrefix="1" applyNumberFormat="1" applyFont="1"/>
    <xf numFmtId="167" fontId="5" fillId="0" borderId="0" xfId="0" quotePrefix="1" applyNumberFormat="1" applyFont="1"/>
    <xf numFmtId="0" fontId="5" fillId="29" borderId="0" xfId="492" applyFont="1" applyFill="1" applyAlignment="1">
      <alignment horizontal="left" vertical="center" indent="1"/>
    </xf>
    <xf numFmtId="0" fontId="3" fillId="29" borderId="0" xfId="492" applyFont="1" applyFill="1" applyAlignment="1">
      <alignment horizontal="left" vertical="center" indent="1"/>
    </xf>
    <xf numFmtId="172" fontId="5" fillId="0" borderId="0" xfId="0" applyNumberFormat="1" applyFont="1" applyAlignment="1">
      <alignment vertical="center"/>
    </xf>
    <xf numFmtId="164" fontId="10" fillId="0" borderId="0" xfId="0" quotePrefix="1" applyNumberFormat="1" applyFont="1" applyAlignment="1">
      <alignment vertical="center"/>
    </xf>
    <xf numFmtId="3" fontId="5" fillId="0" borderId="0" xfId="0" applyNumberFormat="1" applyFont="1" applyAlignment="1">
      <alignment vertical="center"/>
    </xf>
    <xf numFmtId="167" fontId="5" fillId="0" borderId="0" xfId="0" applyNumberFormat="1" applyFont="1"/>
    <xf numFmtId="0" fontId="5" fillId="29" borderId="0" xfId="492" applyFont="1" applyFill="1"/>
    <xf numFmtId="165" fontId="70" fillId="0" borderId="0" xfId="272" applyNumberFormat="1" applyFont="1"/>
    <xf numFmtId="0" fontId="5" fillId="0" borderId="0" xfId="288"/>
    <xf numFmtId="0" fontId="3" fillId="0" borderId="0" xfId="288" applyFont="1" applyAlignment="1">
      <alignment horizontal="left"/>
    </xf>
    <xf numFmtId="0" fontId="3" fillId="24" borderId="0" xfId="492" applyFont="1" applyFill="1" applyAlignment="1">
      <alignment horizontal="left"/>
    </xf>
    <xf numFmtId="167" fontId="5" fillId="0" borderId="0" xfId="505" quotePrefix="1" applyNumberFormat="1" applyFont="1" applyFill="1" applyAlignment="1"/>
    <xf numFmtId="0" fontId="5" fillId="29" borderId="0" xfId="492" applyFont="1" applyFill="1" applyAlignment="1">
      <alignment horizontal="left"/>
    </xf>
    <xf numFmtId="0" fontId="3" fillId="29" borderId="0" xfId="492" applyFont="1" applyFill="1" applyAlignment="1">
      <alignment horizontal="left"/>
    </xf>
    <xf numFmtId="164" fontId="5" fillId="0" borderId="0" xfId="0" applyNumberFormat="1" applyFont="1" applyAlignment="1">
      <alignment vertical="center"/>
    </xf>
    <xf numFmtId="0" fontId="95" fillId="48" borderId="36" xfId="257" applyFont="1" applyFill="1" applyBorder="1" applyAlignment="1">
      <alignment horizontal="left" vertical="center"/>
    </xf>
    <xf numFmtId="0" fontId="95" fillId="48" borderId="6" xfId="257" applyFont="1" applyFill="1" applyBorder="1" applyAlignment="1">
      <alignment horizontal="left"/>
    </xf>
    <xf numFmtId="0" fontId="95" fillId="48" borderId="6" xfId="257" applyFont="1" applyFill="1" applyBorder="1"/>
    <xf numFmtId="0" fontId="95" fillId="48" borderId="6" xfId="257" applyFont="1" applyFill="1" applyBorder="1" applyAlignment="1">
      <alignment horizontal="right"/>
    </xf>
    <xf numFmtId="0" fontId="95" fillId="48" borderId="30" xfId="257" applyFont="1" applyFill="1" applyBorder="1"/>
    <xf numFmtId="0" fontId="69" fillId="0" borderId="0" xfId="0" applyFont="1"/>
    <xf numFmtId="0" fontId="2" fillId="0" borderId="0" xfId="0" applyFont="1" applyAlignment="1">
      <alignment horizontal="center"/>
    </xf>
    <xf numFmtId="0" fontId="28" fillId="0" borderId="0" xfId="0" applyFont="1"/>
    <xf numFmtId="0" fontId="28" fillId="0" borderId="0" xfId="0" applyFont="1" applyAlignment="1">
      <alignment horizontal="center" vertical="center"/>
    </xf>
    <xf numFmtId="166" fontId="3" fillId="0" borderId="0" xfId="0" applyNumberFormat="1" applyFont="1" applyAlignment="1">
      <alignment horizontal="center"/>
    </xf>
    <xf numFmtId="0" fontId="28" fillId="0" borderId="0" xfId="0" applyFont="1" applyAlignment="1">
      <alignment horizontal="left" vertical="center"/>
    </xf>
    <xf numFmtId="0" fontId="5" fillId="0" borderId="0" xfId="0" applyFont="1" applyAlignment="1">
      <alignment horizontal="left" vertical="center"/>
    </xf>
    <xf numFmtId="0" fontId="0" fillId="49" borderId="26" xfId="0" applyFill="1" applyBorder="1"/>
    <xf numFmtId="0" fontId="3" fillId="49" borderId="26" xfId="0" applyFont="1" applyFill="1" applyBorder="1" applyAlignment="1">
      <alignment horizontal="center"/>
    </xf>
    <xf numFmtId="0" fontId="3" fillId="49" borderId="26" xfId="0" applyFont="1" applyFill="1" applyBorder="1" applyAlignment="1">
      <alignment horizontal="center" vertical="center"/>
    </xf>
    <xf numFmtId="0" fontId="0" fillId="49" borderId="40" xfId="0" applyFill="1" applyBorder="1"/>
    <xf numFmtId="0" fontId="0" fillId="49" borderId="0" xfId="0" applyFill="1"/>
    <xf numFmtId="0" fontId="3" fillId="49" borderId="0" xfId="0" applyFont="1" applyFill="1" applyAlignment="1">
      <alignment horizontal="center"/>
    </xf>
    <xf numFmtId="0" fontId="5" fillId="49" borderId="0" xfId="0" applyFont="1" applyFill="1" applyAlignment="1">
      <alignment horizontal="center" vertical="center"/>
    </xf>
    <xf numFmtId="0" fontId="0" fillId="49" borderId="37" xfId="0" applyFill="1" applyBorder="1"/>
    <xf numFmtId="0" fontId="0" fillId="49" borderId="27" xfId="0" applyFill="1" applyBorder="1"/>
    <xf numFmtId="0" fontId="5" fillId="49" borderId="27" xfId="0" applyFont="1" applyFill="1" applyBorder="1" applyAlignment="1">
      <alignment horizontal="center"/>
    </xf>
    <xf numFmtId="0" fontId="5" fillId="49" borderId="27" xfId="0" applyFont="1" applyFill="1" applyBorder="1" applyAlignment="1">
      <alignment horizontal="center" vertical="center"/>
    </xf>
    <xf numFmtId="0" fontId="0" fillId="49" borderId="42" xfId="0" applyFill="1" applyBorder="1"/>
    <xf numFmtId="0" fontId="0" fillId="49" borderId="39" xfId="0" applyFill="1" applyBorder="1"/>
    <xf numFmtId="0" fontId="0" fillId="49" borderId="38" xfId="0" applyFill="1" applyBorder="1"/>
    <xf numFmtId="0" fontId="0" fillId="49" borderId="41" xfId="0" applyFill="1" applyBorder="1"/>
    <xf numFmtId="0" fontId="3" fillId="42" borderId="36" xfId="0" applyFont="1" applyFill="1" applyBorder="1" applyAlignment="1">
      <alignment horizontal="left" vertical="center"/>
    </xf>
    <xf numFmtId="0" fontId="6" fillId="0" borderId="45" xfId="0" applyFont="1" applyBorder="1"/>
    <xf numFmtId="0" fontId="5" fillId="0" borderId="47" xfId="0" applyFont="1" applyBorder="1"/>
    <xf numFmtId="0" fontId="5" fillId="0" borderId="0" xfId="478" applyAlignment="1" applyProtection="1">
      <alignment vertical="center"/>
      <protection hidden="1"/>
    </xf>
    <xf numFmtId="3" fontId="5" fillId="50" borderId="15" xfId="0" applyNumberFormat="1" applyFont="1" applyFill="1" applyBorder="1" applyAlignment="1" applyProtection="1">
      <alignment vertical="center"/>
      <protection locked="0"/>
    </xf>
    <xf numFmtId="0" fontId="96" fillId="0" borderId="0" xfId="481" applyFont="1" applyAlignment="1">
      <alignment vertical="center"/>
    </xf>
    <xf numFmtId="0" fontId="97" fillId="0" borderId="0" xfId="485" applyFont="1" applyAlignment="1">
      <alignment vertical="center"/>
    </xf>
    <xf numFmtId="0" fontId="3" fillId="0" borderId="43" xfId="0" applyFont="1" applyBorder="1" applyAlignment="1">
      <alignment horizontal="left" vertical="center"/>
    </xf>
    <xf numFmtId="0" fontId="5" fillId="0" borderId="44" xfId="0" applyFont="1" applyBorder="1" applyAlignment="1">
      <alignment horizontal="right" vertical="center"/>
    </xf>
    <xf numFmtId="0" fontId="5" fillId="0" borderId="48" xfId="0" applyFont="1" applyBorder="1" applyAlignment="1">
      <alignment horizontal="right" vertical="center"/>
    </xf>
    <xf numFmtId="0" fontId="19" fillId="0" borderId="0" xfId="0" applyFont="1"/>
    <xf numFmtId="164" fontId="0" fillId="50" borderId="15" xfId="0" applyNumberFormat="1" applyFill="1" applyBorder="1" applyAlignment="1" applyProtection="1">
      <alignment vertical="center"/>
      <protection locked="0"/>
    </xf>
    <xf numFmtId="164" fontId="0" fillId="0" borderId="0" xfId="0" applyNumberFormat="1" applyAlignment="1">
      <alignment vertical="center"/>
    </xf>
    <xf numFmtId="0" fontId="3" fillId="0" borderId="45" xfId="0" applyFont="1" applyBorder="1" applyAlignment="1">
      <alignment horizontal="left" vertical="center"/>
    </xf>
    <xf numFmtId="171" fontId="0" fillId="50" borderId="15" xfId="0" applyNumberFormat="1" applyFill="1" applyBorder="1" applyAlignment="1" applyProtection="1">
      <alignment vertical="center"/>
      <protection locked="0"/>
    </xf>
    <xf numFmtId="3" fontId="0" fillId="0" borderId="0" xfId="0" applyNumberFormat="1" applyAlignment="1">
      <alignment vertical="center"/>
    </xf>
    <xf numFmtId="3" fontId="0" fillId="50" borderId="15" xfId="0" applyNumberFormat="1" applyFill="1" applyBorder="1" applyAlignment="1" applyProtection="1">
      <alignment vertical="center"/>
      <protection locked="0"/>
    </xf>
    <xf numFmtId="164" fontId="0" fillId="43" borderId="15" xfId="0" applyNumberFormat="1" applyFill="1" applyBorder="1" applyProtection="1">
      <protection locked="0"/>
    </xf>
    <xf numFmtId="3" fontId="0" fillId="0" borderId="7" xfId="0" applyNumberFormat="1" applyBorder="1"/>
    <xf numFmtId="167" fontId="3" fillId="0" borderId="0" xfId="0" applyNumberFormat="1" applyFont="1"/>
    <xf numFmtId="3" fontId="0" fillId="50" borderId="15" xfId="0" applyNumberFormat="1" applyFill="1" applyBorder="1" applyProtection="1">
      <protection locked="0"/>
    </xf>
    <xf numFmtId="0" fontId="30" fillId="0" borderId="0" xfId="0" applyFont="1" applyAlignment="1">
      <alignment horizontal="left"/>
    </xf>
    <xf numFmtId="168" fontId="0" fillId="50" borderId="15" xfId="0" applyNumberFormat="1" applyFill="1" applyBorder="1" applyAlignment="1" applyProtection="1">
      <alignment vertical="center"/>
      <protection locked="0"/>
    </xf>
    <xf numFmtId="49" fontId="0" fillId="51" borderId="0" xfId="0" applyNumberFormat="1" applyFill="1"/>
    <xf numFmtId="0" fontId="23" fillId="51" borderId="0" xfId="0" applyFont="1" applyFill="1" applyAlignment="1">
      <alignment horizontal="left" vertical="center"/>
    </xf>
    <xf numFmtId="0" fontId="2" fillId="51" borderId="0" xfId="0" applyFont="1" applyFill="1" applyAlignment="1">
      <alignment horizontal="left"/>
    </xf>
    <xf numFmtId="0" fontId="0" fillId="51" borderId="0" xfId="0" applyFill="1"/>
    <xf numFmtId="0" fontId="3" fillId="51" borderId="0" xfId="0" applyFont="1" applyFill="1" applyAlignment="1">
      <alignment horizontal="left" vertical="center"/>
    </xf>
    <xf numFmtId="0" fontId="3" fillId="51" borderId="0" xfId="0" applyFont="1" applyFill="1" applyAlignment="1">
      <alignment horizontal="left"/>
    </xf>
    <xf numFmtId="0" fontId="3" fillId="51" borderId="0" xfId="0" applyFont="1" applyFill="1"/>
    <xf numFmtId="0" fontId="98" fillId="51" borderId="0" xfId="0" applyFont="1" applyFill="1" applyAlignment="1">
      <alignment horizontal="left" vertical="center"/>
    </xf>
    <xf numFmtId="0" fontId="95" fillId="51" borderId="0" xfId="0" applyFont="1" applyFill="1" applyAlignment="1">
      <alignment horizontal="left" vertical="center"/>
    </xf>
    <xf numFmtId="0" fontId="99" fillId="51" borderId="0" xfId="0" applyFont="1" applyFill="1" applyAlignment="1">
      <alignment horizontal="left" vertical="center"/>
    </xf>
    <xf numFmtId="49" fontId="3" fillId="52" borderId="0" xfId="0" applyNumberFormat="1" applyFont="1" applyFill="1" applyAlignment="1">
      <alignment horizontal="right"/>
    </xf>
    <xf numFmtId="0" fontId="3" fillId="52" borderId="0" xfId="0" applyFont="1" applyFill="1" applyAlignment="1">
      <alignment horizontal="left"/>
    </xf>
    <xf numFmtId="0" fontId="5" fillId="52" borderId="0" xfId="0" applyFont="1" applyFill="1" applyAlignment="1">
      <alignment horizontal="left"/>
    </xf>
    <xf numFmtId="0" fontId="0" fillId="52" borderId="0" xfId="0" applyFill="1"/>
    <xf numFmtId="0" fontId="95" fillId="51" borderId="36" xfId="0" applyFont="1" applyFill="1" applyBorder="1" applyAlignment="1">
      <alignment horizontal="center" vertical="center"/>
    </xf>
    <xf numFmtId="168" fontId="0" fillId="0" borderId="0" xfId="0" applyNumberFormat="1" applyAlignment="1">
      <alignment vertical="center"/>
    </xf>
    <xf numFmtId="0" fontId="6" fillId="0" borderId="43" xfId="0" applyFont="1" applyBorder="1"/>
    <xf numFmtId="0" fontId="3" fillId="0" borderId="52" xfId="0" applyFont="1" applyBorder="1" applyAlignment="1">
      <alignment horizontal="right"/>
    </xf>
    <xf numFmtId="0" fontId="20" fillId="0" borderId="0" xfId="0" quotePrefix="1" applyFont="1"/>
    <xf numFmtId="0" fontId="20" fillId="0" borderId="34" xfId="0" applyFont="1" applyBorder="1"/>
    <xf numFmtId="164" fontId="5" fillId="0" borderId="0" xfId="0" quotePrefix="1" applyNumberFormat="1" applyFont="1"/>
    <xf numFmtId="0" fontId="5" fillId="49" borderId="0" xfId="0" applyFont="1" applyFill="1"/>
    <xf numFmtId="0" fontId="4" fillId="0" borderId="0" xfId="0" applyFont="1" applyAlignment="1">
      <alignment vertical="center"/>
    </xf>
    <xf numFmtId="0" fontId="9" fillId="51" borderId="0" xfId="0" applyFont="1" applyFill="1" applyAlignment="1">
      <alignment horizontal="left" vertical="center"/>
    </xf>
    <xf numFmtId="0" fontId="0" fillId="51" borderId="0" xfId="0" applyFill="1" applyAlignment="1">
      <alignment vertical="center"/>
    </xf>
    <xf numFmtId="0" fontId="0" fillId="51" borderId="0" xfId="0" applyFill="1" applyAlignment="1">
      <alignment horizontal="right" vertical="center"/>
    </xf>
    <xf numFmtId="49" fontId="100" fillId="51" borderId="0" xfId="0" applyNumberFormat="1" applyFont="1" applyFill="1"/>
    <xf numFmtId="0" fontId="101" fillId="51" borderId="0" xfId="0" applyFont="1" applyFill="1" applyAlignment="1">
      <alignment horizontal="left" vertical="center"/>
    </xf>
    <xf numFmtId="0" fontId="100" fillId="51" borderId="0" xfId="0" applyFont="1" applyFill="1"/>
    <xf numFmtId="0" fontId="100" fillId="51" borderId="0" xfId="0" applyFont="1" applyFill="1" applyAlignment="1">
      <alignment vertical="center"/>
    </xf>
    <xf numFmtId="0" fontId="100" fillId="51" borderId="0" xfId="0" applyFont="1" applyFill="1" applyAlignment="1">
      <alignment horizontal="right" vertical="center"/>
    </xf>
    <xf numFmtId="3" fontId="5" fillId="50" borderId="15" xfId="0" applyNumberFormat="1" applyFont="1" applyFill="1" applyBorder="1" applyProtection="1">
      <protection locked="0"/>
    </xf>
    <xf numFmtId="168" fontId="3" fillId="0" borderId="0" xfId="0" applyNumberFormat="1" applyFont="1"/>
    <xf numFmtId="0" fontId="95" fillId="48" borderId="6" xfId="348" applyFont="1" applyFill="1" applyBorder="1" applyAlignment="1">
      <alignment horizontal="center" vertical="center"/>
    </xf>
    <xf numFmtId="0" fontId="5" fillId="0" borderId="0" xfId="253" quotePrefix="1"/>
    <xf numFmtId="164" fontId="0" fillId="50" borderId="15" xfId="0" quotePrefix="1" applyNumberFormat="1" applyFill="1" applyBorder="1" applyAlignment="1" applyProtection="1">
      <alignment horizontal="center" vertical="center"/>
      <protection locked="0"/>
    </xf>
    <xf numFmtId="164" fontId="5" fillId="50" borderId="15" xfId="0" applyNumberFormat="1" applyFont="1" applyFill="1" applyBorder="1" applyAlignment="1" applyProtection="1">
      <alignment horizontal="center" vertical="center"/>
      <protection locked="0"/>
    </xf>
    <xf numFmtId="3" fontId="5" fillId="49" borderId="0" xfId="0" applyNumberFormat="1" applyFont="1" applyFill="1"/>
    <xf numFmtId="0" fontId="3" fillId="0" borderId="0" xfId="0" applyFont="1" applyAlignment="1">
      <alignment horizontal="left" indent="1"/>
    </xf>
    <xf numFmtId="165" fontId="5" fillId="49" borderId="0" xfId="0" quotePrefix="1" applyNumberFormat="1" applyFont="1" applyFill="1" applyAlignment="1">
      <alignment vertical="center"/>
    </xf>
    <xf numFmtId="164" fontId="81" fillId="0" borderId="0" xfId="231" applyNumberFormat="1" applyFont="1"/>
    <xf numFmtId="0" fontId="81" fillId="0" borderId="0" xfId="231" applyFont="1"/>
    <xf numFmtId="3" fontId="5" fillId="0" borderId="0" xfId="0" quotePrefix="1" applyNumberFormat="1" applyFont="1" applyAlignment="1">
      <alignment vertical="center"/>
    </xf>
    <xf numFmtId="1" fontId="5" fillId="0" borderId="0" xfId="0" applyNumberFormat="1" applyFont="1"/>
    <xf numFmtId="164" fontId="10" fillId="0" borderId="0" xfId="0" applyNumberFormat="1" applyFont="1" applyAlignment="1">
      <alignment vertical="center"/>
    </xf>
    <xf numFmtId="0" fontId="3" fillId="0" borderId="0" xfId="0" applyFont="1" applyAlignment="1">
      <alignment horizontal="left" vertical="center" indent="1"/>
    </xf>
    <xf numFmtId="0" fontId="32" fillId="0" borderId="0" xfId="0" applyFont="1" applyAlignment="1" applyProtection="1">
      <alignment vertical="center"/>
      <protection hidden="1"/>
    </xf>
    <xf numFmtId="171" fontId="5" fillId="0" borderId="0" xfId="0" applyNumberFormat="1" applyFont="1"/>
    <xf numFmtId="9" fontId="5" fillId="0" borderId="0" xfId="0" applyNumberFormat="1" applyFont="1"/>
    <xf numFmtId="164" fontId="5" fillId="0" borderId="0" xfId="0" quotePrefix="1" applyNumberFormat="1" applyFont="1" applyAlignment="1">
      <alignment vertical="center"/>
    </xf>
    <xf numFmtId="3" fontId="10" fillId="0" borderId="0" xfId="0" quotePrefix="1" applyNumberFormat="1" applyFont="1" applyAlignment="1">
      <alignment vertical="center"/>
    </xf>
    <xf numFmtId="3" fontId="3" fillId="0" borderId="0" xfId="0" applyNumberFormat="1" applyFont="1" applyAlignment="1">
      <alignment vertical="center"/>
    </xf>
    <xf numFmtId="0" fontId="3" fillId="0" borderId="0" xfId="492" applyFont="1" applyAlignment="1">
      <alignment horizontal="left"/>
    </xf>
    <xf numFmtId="0" fontId="5" fillId="0" borderId="0" xfId="492" applyFont="1" applyAlignment="1">
      <alignment horizontal="left"/>
    </xf>
    <xf numFmtId="0" fontId="5" fillId="0" borderId="44" xfId="0" applyFont="1" applyBorder="1"/>
    <xf numFmtId="0" fontId="5" fillId="50" borderId="0" xfId="0" applyFont="1" applyFill="1"/>
    <xf numFmtId="0" fontId="5" fillId="0" borderId="0" xfId="353"/>
    <xf numFmtId="0" fontId="20" fillId="0" borderId="0" xfId="353" applyFont="1"/>
    <xf numFmtId="0" fontId="5" fillId="0" borderId="0" xfId="335" applyProtection="1">
      <protection hidden="1"/>
    </xf>
    <xf numFmtId="0" fontId="3" fillId="0" borderId="0" xfId="338" applyFont="1" applyProtection="1">
      <protection hidden="1"/>
    </xf>
    <xf numFmtId="0" fontId="5" fillId="50" borderId="0" xfId="0" applyFont="1" applyFill="1" applyAlignment="1" applyProtection="1">
      <alignment vertical="center"/>
      <protection hidden="1"/>
    </xf>
    <xf numFmtId="0" fontId="5" fillId="50" borderId="0" xfId="0" applyFont="1" applyFill="1" applyAlignment="1">
      <alignment vertical="center"/>
    </xf>
    <xf numFmtId="0" fontId="3" fillId="50" borderId="0" xfId="0" applyFont="1" applyFill="1" applyAlignment="1">
      <alignment horizontal="left" vertical="center" indent="1"/>
    </xf>
    <xf numFmtId="0" fontId="3" fillId="49" borderId="0" xfId="0" applyFont="1" applyFill="1"/>
    <xf numFmtId="3" fontId="3" fillId="49" borderId="0" xfId="0" applyNumberFormat="1" applyFont="1" applyFill="1"/>
    <xf numFmtId="0" fontId="0" fillId="0" borderId="53" xfId="0" applyBorder="1" applyAlignment="1">
      <alignment horizontal="right"/>
    </xf>
    <xf numFmtId="0" fontId="6" fillId="0" borderId="48" xfId="0" applyFont="1" applyBorder="1"/>
    <xf numFmtId="0" fontId="6" fillId="0" borderId="34" xfId="0" applyFont="1" applyBorder="1"/>
    <xf numFmtId="3" fontId="5" fillId="50" borderId="0" xfId="0" applyNumberFormat="1" applyFont="1" applyFill="1"/>
    <xf numFmtId="165" fontId="10" fillId="49" borderId="0" xfId="0" quotePrefix="1" applyNumberFormat="1" applyFont="1" applyFill="1" applyAlignment="1">
      <alignment vertical="center"/>
    </xf>
    <xf numFmtId="165" fontId="3" fillId="49" borderId="0" xfId="0" quotePrefix="1" applyNumberFormat="1" applyFont="1" applyFill="1" applyAlignment="1">
      <alignment vertical="center"/>
    </xf>
    <xf numFmtId="164" fontId="5" fillId="50" borderId="0" xfId="0" applyNumberFormat="1" applyFont="1" applyFill="1"/>
    <xf numFmtId="0" fontId="3" fillId="0" borderId="0" xfId="0" applyFont="1" applyAlignment="1" applyProtection="1">
      <alignment horizontal="left" indent="1"/>
      <protection hidden="1"/>
    </xf>
    <xf numFmtId="9" fontId="5" fillId="0" borderId="0" xfId="0" quotePrefix="1" applyNumberFormat="1" applyFont="1" applyAlignment="1">
      <alignment vertical="center"/>
    </xf>
    <xf numFmtId="3" fontId="30" fillId="0" borderId="0" xfId="0" applyNumberFormat="1" applyFont="1"/>
    <xf numFmtId="1" fontId="28" fillId="0" borderId="0" xfId="0" applyNumberFormat="1" applyFont="1" applyAlignment="1">
      <alignment vertical="center"/>
    </xf>
    <xf numFmtId="0" fontId="0" fillId="0" borderId="0" xfId="0" applyAlignment="1">
      <alignment vertical="center"/>
    </xf>
    <xf numFmtId="0" fontId="5" fillId="43" borderId="54" xfId="0" applyFont="1" applyFill="1" applyBorder="1" applyProtection="1">
      <protection locked="0"/>
    </xf>
    <xf numFmtId="0" fontId="0" fillId="43" borderId="7" xfId="0" applyFill="1" applyBorder="1" applyProtection="1">
      <protection locked="0"/>
    </xf>
    <xf numFmtId="0" fontId="0" fillId="43" borderId="55" xfId="0" applyFill="1" applyBorder="1" applyProtection="1">
      <protection locked="0"/>
    </xf>
    <xf numFmtId="170" fontId="0" fillId="43" borderId="54" xfId="0" applyNumberFormat="1" applyFill="1" applyBorder="1" applyProtection="1">
      <protection locked="0"/>
    </xf>
    <xf numFmtId="170" fontId="0" fillId="43" borderId="7" xfId="0" applyNumberFormat="1" applyFill="1" applyBorder="1" applyProtection="1">
      <protection locked="0"/>
    </xf>
    <xf numFmtId="170" fontId="0" fillId="43" borderId="55" xfId="0" applyNumberFormat="1" applyFill="1" applyBorder="1" applyProtection="1">
      <protection locked="0"/>
    </xf>
    <xf numFmtId="0" fontId="8" fillId="0" borderId="0" xfId="121" applyBorder="1" applyAlignment="1" applyProtection="1">
      <alignment horizontal="left" vertical="center"/>
      <protection locked="0"/>
    </xf>
    <xf numFmtId="0" fontId="35" fillId="0" borderId="0" xfId="0" applyFont="1" applyAlignment="1">
      <alignment vertical="center" wrapText="1"/>
    </xf>
    <xf numFmtId="0" fontId="0" fillId="0" borderId="0" xfId="0" applyAlignment="1">
      <alignment wrapText="1"/>
    </xf>
    <xf numFmtId="0" fontId="0" fillId="43" borderId="54" xfId="0" applyFill="1" applyBorder="1" applyProtection="1">
      <protection locked="0"/>
    </xf>
    <xf numFmtId="169" fontId="0" fillId="43" borderId="54" xfId="0" applyNumberFormat="1" applyFill="1" applyBorder="1" applyProtection="1">
      <protection locked="0"/>
    </xf>
    <xf numFmtId="169" fontId="0" fillId="43" borderId="7" xfId="0" applyNumberFormat="1" applyFill="1" applyBorder="1" applyProtection="1">
      <protection locked="0"/>
    </xf>
    <xf numFmtId="169" fontId="0" fillId="43" borderId="55" xfId="0" applyNumberFormat="1" applyFill="1" applyBorder="1" applyProtection="1">
      <protection locked="0"/>
    </xf>
    <xf numFmtId="0" fontId="5" fillId="0" borderId="0" xfId="0" applyFont="1"/>
    <xf numFmtId="0" fontId="8" fillId="0" borderId="0" xfId="121" applyAlignment="1" applyProtection="1">
      <protection locked="0"/>
    </xf>
    <xf numFmtId="0" fontId="5" fillId="0" borderId="0" xfId="257" applyProtection="1">
      <protection locked="0"/>
    </xf>
    <xf numFmtId="0" fontId="25" fillId="0" borderId="26" xfId="121" applyFont="1" applyBorder="1" applyAlignment="1" applyProtection="1">
      <alignment horizontal="left" vertical="center"/>
      <protection locked="0"/>
    </xf>
    <xf numFmtId="0" fontId="29" fillId="24" borderId="0" xfId="0" applyFont="1" applyFill="1" applyAlignment="1">
      <alignment vertical="center"/>
    </xf>
    <xf numFmtId="0" fontId="7" fillId="0" borderId="0" xfId="0" applyFont="1" applyAlignment="1">
      <alignment horizontal="left" vertical="center"/>
    </xf>
    <xf numFmtId="0" fontId="24" fillId="0" borderId="0" xfId="121" applyFont="1" applyFill="1" applyAlignment="1" applyProtection="1">
      <alignment horizontal="left" vertical="center"/>
      <protection locked="0"/>
    </xf>
    <xf numFmtId="0" fontId="18" fillId="0" borderId="0" xfId="121" applyFont="1" applyFill="1" applyAlignment="1" applyProtection="1">
      <alignment horizontal="left" vertical="center"/>
      <protection locked="0"/>
    </xf>
  </cellXfs>
  <cellStyles count="733">
    <cellStyle name="20 % - Accent1" xfId="1" xr:uid="{00000000-0005-0000-0000-000000000000}"/>
    <cellStyle name="20 % - Accent2" xfId="2" xr:uid="{00000000-0005-0000-0000-000001000000}"/>
    <cellStyle name="20 % - Accent3" xfId="3" xr:uid="{00000000-0005-0000-0000-000002000000}"/>
    <cellStyle name="20 % - Accent4" xfId="4" xr:uid="{00000000-0005-0000-0000-000003000000}"/>
    <cellStyle name="20 % - Accent5" xfId="5" xr:uid="{00000000-0005-0000-0000-000004000000}"/>
    <cellStyle name="20 % - Accent6" xfId="6" xr:uid="{00000000-0005-0000-0000-000005000000}"/>
    <cellStyle name="20% - Accent1 2" xfId="7" xr:uid="{00000000-0005-0000-0000-000006000000}"/>
    <cellStyle name="20% - Accent1 3" xfId="8" xr:uid="{00000000-0005-0000-0000-000007000000}"/>
    <cellStyle name="20% - Accent2 2" xfId="9" xr:uid="{00000000-0005-0000-0000-000008000000}"/>
    <cellStyle name="20% - Accent2 3" xfId="10" xr:uid="{00000000-0005-0000-0000-000009000000}"/>
    <cellStyle name="20% - Accent3 2" xfId="11" xr:uid="{00000000-0005-0000-0000-00000A000000}"/>
    <cellStyle name="20% - Accent3 3" xfId="12" xr:uid="{00000000-0005-0000-0000-00000B000000}"/>
    <cellStyle name="20% - Accent4 2" xfId="13" xr:uid="{00000000-0005-0000-0000-00000C000000}"/>
    <cellStyle name="20% - Accent4 3" xfId="14" xr:uid="{00000000-0005-0000-0000-00000D000000}"/>
    <cellStyle name="20% - Accent5 2" xfId="15" xr:uid="{00000000-0005-0000-0000-00000E000000}"/>
    <cellStyle name="20% - Accent5 3" xfId="16" xr:uid="{00000000-0005-0000-0000-00000F000000}"/>
    <cellStyle name="20% - Accent6 2" xfId="17" xr:uid="{00000000-0005-0000-0000-000010000000}"/>
    <cellStyle name="20% - Accent6 3" xfId="18" xr:uid="{00000000-0005-0000-0000-000011000000}"/>
    <cellStyle name="40 % - Accent1" xfId="19" xr:uid="{00000000-0005-0000-0000-000012000000}"/>
    <cellStyle name="40 % - Accent2" xfId="20" xr:uid="{00000000-0005-0000-0000-000013000000}"/>
    <cellStyle name="40 % - Accent3" xfId="21" xr:uid="{00000000-0005-0000-0000-000014000000}"/>
    <cellStyle name="40 % - Accent4" xfId="22" xr:uid="{00000000-0005-0000-0000-000015000000}"/>
    <cellStyle name="40 % - Accent5" xfId="23" xr:uid="{00000000-0005-0000-0000-000016000000}"/>
    <cellStyle name="40 % - Accent6" xfId="24" xr:uid="{00000000-0005-0000-0000-000017000000}"/>
    <cellStyle name="40% - Accent1 2" xfId="25" xr:uid="{00000000-0005-0000-0000-000018000000}"/>
    <cellStyle name="40% - Accent1 3" xfId="26" xr:uid="{00000000-0005-0000-0000-000019000000}"/>
    <cellStyle name="40% - Accent2 2" xfId="27" xr:uid="{00000000-0005-0000-0000-00001A000000}"/>
    <cellStyle name="40% - Accent3 2" xfId="28" xr:uid="{00000000-0005-0000-0000-00001B000000}"/>
    <cellStyle name="40% - Accent3 3" xfId="29" xr:uid="{00000000-0005-0000-0000-00001C000000}"/>
    <cellStyle name="40% - Accent4 2" xfId="30" xr:uid="{00000000-0005-0000-0000-00001D000000}"/>
    <cellStyle name="40% - Accent4 3" xfId="31" xr:uid="{00000000-0005-0000-0000-00001E000000}"/>
    <cellStyle name="40% - Accent5 2" xfId="32" xr:uid="{00000000-0005-0000-0000-00001F000000}"/>
    <cellStyle name="40% - Accent5 3" xfId="33" xr:uid="{00000000-0005-0000-0000-000020000000}"/>
    <cellStyle name="40% - Accent6 2" xfId="34" xr:uid="{00000000-0005-0000-0000-000021000000}"/>
    <cellStyle name="40% - Accent6 3" xfId="35" xr:uid="{00000000-0005-0000-0000-000022000000}"/>
    <cellStyle name="60 % - Accent1" xfId="36" xr:uid="{00000000-0005-0000-0000-000023000000}"/>
    <cellStyle name="60 % - Accent2" xfId="37" xr:uid="{00000000-0005-0000-0000-000024000000}"/>
    <cellStyle name="60 % - Accent3" xfId="38" xr:uid="{00000000-0005-0000-0000-000025000000}"/>
    <cellStyle name="60 % - Accent4" xfId="39" xr:uid="{00000000-0005-0000-0000-000026000000}"/>
    <cellStyle name="60 % - Accent5" xfId="40" xr:uid="{00000000-0005-0000-0000-000027000000}"/>
    <cellStyle name="60 % - Accent6" xfId="41" xr:uid="{00000000-0005-0000-0000-000028000000}"/>
    <cellStyle name="60% - Accent1 2" xfId="42" xr:uid="{00000000-0005-0000-0000-000029000000}"/>
    <cellStyle name="60% - Accent1 3" xfId="43" xr:uid="{00000000-0005-0000-0000-00002A000000}"/>
    <cellStyle name="60% - Accent2 2" xfId="44" xr:uid="{00000000-0005-0000-0000-00002B000000}"/>
    <cellStyle name="60% - Accent3 2" xfId="45" xr:uid="{00000000-0005-0000-0000-00002C000000}"/>
    <cellStyle name="60% - Accent3 3" xfId="46" xr:uid="{00000000-0005-0000-0000-00002D000000}"/>
    <cellStyle name="60% - Accent4 2" xfId="47" xr:uid="{00000000-0005-0000-0000-00002E000000}"/>
    <cellStyle name="60% - Accent4 3" xfId="48" xr:uid="{00000000-0005-0000-0000-00002F000000}"/>
    <cellStyle name="60% - Accent5 2" xfId="49" xr:uid="{00000000-0005-0000-0000-000030000000}"/>
    <cellStyle name="60% - Accent5 3" xfId="50" xr:uid="{00000000-0005-0000-0000-000031000000}"/>
    <cellStyle name="60% - Accent6 2" xfId="51" xr:uid="{00000000-0005-0000-0000-000032000000}"/>
    <cellStyle name="60% - Accent6 3" xfId="52" xr:uid="{00000000-0005-0000-0000-000033000000}"/>
    <cellStyle name="Accent1 2" xfId="53" xr:uid="{00000000-0005-0000-0000-000034000000}"/>
    <cellStyle name="Accent1 3" xfId="54" xr:uid="{00000000-0005-0000-0000-000035000000}"/>
    <cellStyle name="Accent2 2" xfId="55" xr:uid="{00000000-0005-0000-0000-000036000000}"/>
    <cellStyle name="Accent3 2" xfId="56" xr:uid="{00000000-0005-0000-0000-000037000000}"/>
    <cellStyle name="Accent4 2" xfId="57" xr:uid="{00000000-0005-0000-0000-000038000000}"/>
    <cellStyle name="Accent4 3" xfId="58" xr:uid="{00000000-0005-0000-0000-000039000000}"/>
    <cellStyle name="Accent5 2" xfId="59" xr:uid="{00000000-0005-0000-0000-00003A000000}"/>
    <cellStyle name="Accent6 2" xfId="60" xr:uid="{00000000-0005-0000-0000-00003B000000}"/>
    <cellStyle name="Accent6 3" xfId="61" xr:uid="{00000000-0005-0000-0000-00003C000000}"/>
    <cellStyle name="Actual Date" xfId="62" xr:uid="{00000000-0005-0000-0000-00003D000000}"/>
    <cellStyle name="Avertissement" xfId="63" xr:uid="{00000000-0005-0000-0000-00003E000000}"/>
    <cellStyle name="Bad 2" xfId="64" xr:uid="{00000000-0005-0000-0000-00003F000000}"/>
    <cellStyle name="Bad 3" xfId="65" xr:uid="{00000000-0005-0000-0000-000040000000}"/>
    <cellStyle name="balances" xfId="66" xr:uid="{00000000-0005-0000-0000-000041000000}"/>
    <cellStyle name="Calcul" xfId="67" xr:uid="{00000000-0005-0000-0000-000042000000}"/>
    <cellStyle name="Calcul 2" xfId="68" xr:uid="{00000000-0005-0000-0000-000043000000}"/>
    <cellStyle name="Calculation 2" xfId="69" xr:uid="{00000000-0005-0000-0000-000044000000}"/>
    <cellStyle name="Calculation 2 2" xfId="70" xr:uid="{00000000-0005-0000-0000-000045000000}"/>
    <cellStyle name="Calculation 3" xfId="71" xr:uid="{00000000-0005-0000-0000-000046000000}"/>
    <cellStyle name="Calculation 4" xfId="72" xr:uid="{00000000-0005-0000-0000-000047000000}"/>
    <cellStyle name="Cellule liée" xfId="73" xr:uid="{00000000-0005-0000-0000-000048000000}"/>
    <cellStyle name="Check Cell 2" xfId="74" xr:uid="{00000000-0005-0000-0000-000049000000}"/>
    <cellStyle name="Comma" xfId="75" builtinId="3"/>
    <cellStyle name="Comma 2" xfId="76" xr:uid="{00000000-0005-0000-0000-00004B000000}"/>
    <cellStyle name="Comma 3" xfId="77" xr:uid="{00000000-0005-0000-0000-00004C000000}"/>
    <cellStyle name="Comma 3 2" xfId="78" xr:uid="{00000000-0005-0000-0000-00004D000000}"/>
    <cellStyle name="Comma 3 3" xfId="79" xr:uid="{00000000-0005-0000-0000-00004E000000}"/>
    <cellStyle name="Comma 4" xfId="80" xr:uid="{00000000-0005-0000-0000-00004F000000}"/>
    <cellStyle name="Comma 4 2" xfId="81" xr:uid="{00000000-0005-0000-0000-000050000000}"/>
    <cellStyle name="Comma 4 3" xfId="82" xr:uid="{00000000-0005-0000-0000-000051000000}"/>
    <cellStyle name="Comma 5" xfId="83" xr:uid="{00000000-0005-0000-0000-000052000000}"/>
    <cellStyle name="Comma 5 2" xfId="84" xr:uid="{00000000-0005-0000-0000-000053000000}"/>
    <cellStyle name="Comma 6" xfId="85" xr:uid="{00000000-0005-0000-0000-000054000000}"/>
    <cellStyle name="Comma 6 2" xfId="86" xr:uid="{00000000-0005-0000-0000-000055000000}"/>
    <cellStyle name="Comma 6 3" xfId="87" xr:uid="{00000000-0005-0000-0000-000056000000}"/>
    <cellStyle name="Comma 6 4" xfId="88" xr:uid="{00000000-0005-0000-0000-000057000000}"/>
    <cellStyle name="Comma 6 5" xfId="89" xr:uid="{00000000-0005-0000-0000-000058000000}"/>
    <cellStyle name="Comma 7" xfId="90" xr:uid="{00000000-0005-0000-0000-000059000000}"/>
    <cellStyle name="Comma 7 2" xfId="91" xr:uid="{00000000-0005-0000-0000-00005A000000}"/>
    <cellStyle name="Commentaire" xfId="92" xr:uid="{00000000-0005-0000-0000-00005B000000}"/>
    <cellStyle name="Commentaire 2" xfId="93" xr:uid="{00000000-0005-0000-0000-00005C000000}"/>
    <cellStyle name="Currency 2" xfId="94" xr:uid="{00000000-0005-0000-0000-00005D000000}"/>
    <cellStyle name="Currency 3" xfId="95" xr:uid="{00000000-0005-0000-0000-00005E000000}"/>
    <cellStyle name="Currency 4" xfId="96" xr:uid="{00000000-0005-0000-0000-00005F000000}"/>
    <cellStyle name="Date" xfId="97" xr:uid="{00000000-0005-0000-0000-000060000000}"/>
    <cellStyle name="Entrée" xfId="98" xr:uid="{00000000-0005-0000-0000-000061000000}"/>
    <cellStyle name="Entrée 2" xfId="99" xr:uid="{00000000-0005-0000-0000-000062000000}"/>
    <cellStyle name="Excel.Chart" xfId="100" xr:uid="{00000000-0005-0000-0000-000063000000}"/>
    <cellStyle name="Explanatory Text 2" xfId="101" xr:uid="{00000000-0005-0000-0000-000064000000}"/>
    <cellStyle name="Fixed" xfId="102" xr:uid="{00000000-0005-0000-0000-000065000000}"/>
    <cellStyle name="Good 2" xfId="103" xr:uid="{00000000-0005-0000-0000-000066000000}"/>
    <cellStyle name="Grey" xfId="104" xr:uid="{00000000-0005-0000-0000-000067000000}"/>
    <cellStyle name="HEADER" xfId="105" xr:uid="{00000000-0005-0000-0000-000068000000}"/>
    <cellStyle name="Header1" xfId="106" xr:uid="{00000000-0005-0000-0000-000069000000}"/>
    <cellStyle name="Header2" xfId="107" xr:uid="{00000000-0005-0000-0000-00006A000000}"/>
    <cellStyle name="Header2 2" xfId="108" xr:uid="{00000000-0005-0000-0000-00006B000000}"/>
    <cellStyle name="Header2 3" xfId="109" xr:uid="{00000000-0005-0000-0000-00006C000000}"/>
    <cellStyle name="Heading 1 2" xfId="110" xr:uid="{00000000-0005-0000-0000-00006D000000}"/>
    <cellStyle name="Heading 1 3" xfId="111" xr:uid="{00000000-0005-0000-0000-00006E000000}"/>
    <cellStyle name="Heading 2 2" xfId="112" xr:uid="{00000000-0005-0000-0000-00006F000000}"/>
    <cellStyle name="Heading 2 3" xfId="113" xr:uid="{00000000-0005-0000-0000-000070000000}"/>
    <cellStyle name="Heading 3 2" xfId="114" xr:uid="{00000000-0005-0000-0000-000071000000}"/>
    <cellStyle name="Heading 3 3" xfId="115" xr:uid="{00000000-0005-0000-0000-000072000000}"/>
    <cellStyle name="Heading 4 2" xfId="116" xr:uid="{00000000-0005-0000-0000-000073000000}"/>
    <cellStyle name="Heading 4 3" xfId="117" xr:uid="{00000000-0005-0000-0000-000074000000}"/>
    <cellStyle name="Heading1" xfId="118" xr:uid="{00000000-0005-0000-0000-000075000000}"/>
    <cellStyle name="Heading2" xfId="119" xr:uid="{00000000-0005-0000-0000-000076000000}"/>
    <cellStyle name="HIGHLIGHT" xfId="120" xr:uid="{00000000-0005-0000-0000-000077000000}"/>
    <cellStyle name="Hyperlink" xfId="121" builtinId="8"/>
    <cellStyle name="Hyperlink 2" xfId="122" xr:uid="{00000000-0005-0000-0000-000079000000}"/>
    <cellStyle name="Hyperlink 2 2" xfId="123" xr:uid="{00000000-0005-0000-0000-00007A000000}"/>
    <cellStyle name="Hyperlink 2 3" xfId="124" xr:uid="{00000000-0005-0000-0000-00007B000000}"/>
    <cellStyle name="Hyperlink 2 4" xfId="125" xr:uid="{00000000-0005-0000-0000-00007C000000}"/>
    <cellStyle name="Hyperlink 2 5" xfId="126" xr:uid="{00000000-0005-0000-0000-00007D000000}"/>
    <cellStyle name="Hyperlink 2 6" xfId="127" xr:uid="{00000000-0005-0000-0000-00007E000000}"/>
    <cellStyle name="Hyperlink 3" xfId="128" xr:uid="{00000000-0005-0000-0000-00007F000000}"/>
    <cellStyle name="Hyperlink 4" xfId="129" xr:uid="{00000000-0005-0000-0000-000080000000}"/>
    <cellStyle name="Hyperlink 4 2" xfId="130" xr:uid="{00000000-0005-0000-0000-000081000000}"/>
    <cellStyle name="Hyperlink 4 3" xfId="131" xr:uid="{00000000-0005-0000-0000-000082000000}"/>
    <cellStyle name="Hyperlink 5" xfId="132" xr:uid="{00000000-0005-0000-0000-000083000000}"/>
    <cellStyle name="Hyperlink 5 2" xfId="133" xr:uid="{00000000-0005-0000-0000-000084000000}"/>
    <cellStyle name="Hyperlink 5 3" xfId="134" xr:uid="{00000000-0005-0000-0000-000085000000}"/>
    <cellStyle name="Hyperlink 6" xfId="135" xr:uid="{00000000-0005-0000-0000-000086000000}"/>
    <cellStyle name="Hyperlink 6 2" xfId="136" xr:uid="{00000000-0005-0000-0000-000087000000}"/>
    <cellStyle name="Hyperlink 6 3" xfId="137" xr:uid="{00000000-0005-0000-0000-000088000000}"/>
    <cellStyle name="Hyperlink 6 4" xfId="138" xr:uid="{00000000-0005-0000-0000-000089000000}"/>
    <cellStyle name="Input [yellow]" xfId="139" xr:uid="{00000000-0005-0000-0000-00008A000000}"/>
    <cellStyle name="Input [yellow] 2" xfId="140" xr:uid="{00000000-0005-0000-0000-00008B000000}"/>
    <cellStyle name="Input [yellow] 2 2" xfId="141" xr:uid="{00000000-0005-0000-0000-00008C000000}"/>
    <cellStyle name="Input [yellow] 2 3" xfId="142" xr:uid="{00000000-0005-0000-0000-00008D000000}"/>
    <cellStyle name="Input [yellow] 3" xfId="143" xr:uid="{00000000-0005-0000-0000-00008E000000}"/>
    <cellStyle name="Input [yellow] 3 2" xfId="144" xr:uid="{00000000-0005-0000-0000-00008F000000}"/>
    <cellStyle name="Input [yellow] 3 3" xfId="145" xr:uid="{00000000-0005-0000-0000-000090000000}"/>
    <cellStyle name="Input [yellow] 4" xfId="146" xr:uid="{00000000-0005-0000-0000-000091000000}"/>
    <cellStyle name="Input [yellow] 5" xfId="147" xr:uid="{00000000-0005-0000-0000-000092000000}"/>
    <cellStyle name="Input 10" xfId="148" xr:uid="{00000000-0005-0000-0000-000093000000}"/>
    <cellStyle name="Input 11" xfId="149" xr:uid="{00000000-0005-0000-0000-000094000000}"/>
    <cellStyle name="Input 12" xfId="150" xr:uid="{00000000-0005-0000-0000-000095000000}"/>
    <cellStyle name="Input 13" xfId="151" xr:uid="{00000000-0005-0000-0000-000096000000}"/>
    <cellStyle name="Input 14" xfId="152" xr:uid="{00000000-0005-0000-0000-000097000000}"/>
    <cellStyle name="Input 15" xfId="153" xr:uid="{00000000-0005-0000-0000-000098000000}"/>
    <cellStyle name="Input 16" xfId="154" xr:uid="{00000000-0005-0000-0000-000099000000}"/>
    <cellStyle name="Input 17" xfId="155" xr:uid="{00000000-0005-0000-0000-00009A000000}"/>
    <cellStyle name="Input 18" xfId="156" xr:uid="{00000000-0005-0000-0000-00009B000000}"/>
    <cellStyle name="Input 19" xfId="157" xr:uid="{00000000-0005-0000-0000-00009C000000}"/>
    <cellStyle name="Input 2" xfId="158" xr:uid="{00000000-0005-0000-0000-00009D000000}"/>
    <cellStyle name="Input 2 2" xfId="159" xr:uid="{00000000-0005-0000-0000-00009E000000}"/>
    <cellStyle name="Input 20" xfId="160" xr:uid="{00000000-0005-0000-0000-00009F000000}"/>
    <cellStyle name="Input 21" xfId="161" xr:uid="{00000000-0005-0000-0000-0000A0000000}"/>
    <cellStyle name="Input 3" xfId="162" xr:uid="{00000000-0005-0000-0000-0000A1000000}"/>
    <cellStyle name="Input 3 2" xfId="163" xr:uid="{00000000-0005-0000-0000-0000A2000000}"/>
    <cellStyle name="Input 4" xfId="164" xr:uid="{00000000-0005-0000-0000-0000A3000000}"/>
    <cellStyle name="Input 5" xfId="165" xr:uid="{00000000-0005-0000-0000-0000A4000000}"/>
    <cellStyle name="Input 6" xfId="166" xr:uid="{00000000-0005-0000-0000-0000A5000000}"/>
    <cellStyle name="Input 7" xfId="167" xr:uid="{00000000-0005-0000-0000-0000A6000000}"/>
    <cellStyle name="Input 8" xfId="168" xr:uid="{00000000-0005-0000-0000-0000A7000000}"/>
    <cellStyle name="Input 9" xfId="169" xr:uid="{00000000-0005-0000-0000-0000A8000000}"/>
    <cellStyle name="Insatisfaisant" xfId="170" xr:uid="{00000000-0005-0000-0000-0000A9000000}"/>
    <cellStyle name="Linked Cell 2" xfId="171" xr:uid="{00000000-0005-0000-0000-0000AA000000}"/>
    <cellStyle name="Linked Cell 3" xfId="172" xr:uid="{00000000-0005-0000-0000-0000AB000000}"/>
    <cellStyle name="Milliers 2" xfId="173" xr:uid="{00000000-0005-0000-0000-0000AC000000}"/>
    <cellStyle name="Neutral 2" xfId="174" xr:uid="{00000000-0005-0000-0000-0000AD000000}"/>
    <cellStyle name="Neutral 3" xfId="175" xr:uid="{00000000-0005-0000-0000-0000AE000000}"/>
    <cellStyle name="Neutre" xfId="176" xr:uid="{00000000-0005-0000-0000-0000AF000000}"/>
    <cellStyle name="no dec" xfId="177" xr:uid="{00000000-0005-0000-0000-0000B0000000}"/>
    <cellStyle name="Normal" xfId="0" builtinId="0"/>
    <cellStyle name="Normal - Style1" xfId="178" xr:uid="{00000000-0005-0000-0000-0000B2000000}"/>
    <cellStyle name="Normal 10" xfId="179" xr:uid="{00000000-0005-0000-0000-0000B3000000}"/>
    <cellStyle name="Normal 10 2" xfId="180" xr:uid="{00000000-0005-0000-0000-0000B4000000}"/>
    <cellStyle name="Normal 10 3" xfId="181" xr:uid="{00000000-0005-0000-0000-0000B5000000}"/>
    <cellStyle name="Normal 100" xfId="182" xr:uid="{00000000-0005-0000-0000-0000B6000000}"/>
    <cellStyle name="Normal 100 2" xfId="183" xr:uid="{00000000-0005-0000-0000-0000B7000000}"/>
    <cellStyle name="Normal 101" xfId="184" xr:uid="{00000000-0005-0000-0000-0000B8000000}"/>
    <cellStyle name="Normal 101 2" xfId="185" xr:uid="{00000000-0005-0000-0000-0000B9000000}"/>
    <cellStyle name="Normal 102" xfId="186" xr:uid="{00000000-0005-0000-0000-0000BA000000}"/>
    <cellStyle name="Normal 102 2" xfId="187" xr:uid="{00000000-0005-0000-0000-0000BB000000}"/>
    <cellStyle name="Normal 103" xfId="188" xr:uid="{00000000-0005-0000-0000-0000BC000000}"/>
    <cellStyle name="Normal 103 2" xfId="189" xr:uid="{00000000-0005-0000-0000-0000BD000000}"/>
    <cellStyle name="Normal 104" xfId="190" xr:uid="{00000000-0005-0000-0000-0000BE000000}"/>
    <cellStyle name="Normal 104 2" xfId="191" xr:uid="{00000000-0005-0000-0000-0000BF000000}"/>
    <cellStyle name="Normal 105" xfId="192" xr:uid="{00000000-0005-0000-0000-0000C0000000}"/>
    <cellStyle name="Normal 105 2" xfId="193" xr:uid="{00000000-0005-0000-0000-0000C1000000}"/>
    <cellStyle name="Normal 106" xfId="194" xr:uid="{00000000-0005-0000-0000-0000C2000000}"/>
    <cellStyle name="Normal 107" xfId="195" xr:uid="{00000000-0005-0000-0000-0000C3000000}"/>
    <cellStyle name="Normal 108" xfId="196" xr:uid="{00000000-0005-0000-0000-0000C4000000}"/>
    <cellStyle name="Normal 109" xfId="197" xr:uid="{00000000-0005-0000-0000-0000C5000000}"/>
    <cellStyle name="Normal 109 2" xfId="198" xr:uid="{00000000-0005-0000-0000-0000C6000000}"/>
    <cellStyle name="Normal 11" xfId="199" xr:uid="{00000000-0005-0000-0000-0000C7000000}"/>
    <cellStyle name="Normal 11 2" xfId="200" xr:uid="{00000000-0005-0000-0000-0000C8000000}"/>
    <cellStyle name="Normal 11 3" xfId="201" xr:uid="{00000000-0005-0000-0000-0000C9000000}"/>
    <cellStyle name="Normal 110" xfId="202" xr:uid="{00000000-0005-0000-0000-0000CA000000}"/>
    <cellStyle name="Normal 111" xfId="203" xr:uid="{00000000-0005-0000-0000-0000CB000000}"/>
    <cellStyle name="Normal 111 2" xfId="204" xr:uid="{00000000-0005-0000-0000-0000CC000000}"/>
    <cellStyle name="Normal 112" xfId="205" xr:uid="{00000000-0005-0000-0000-0000CD000000}"/>
    <cellStyle name="Normal 112 2" xfId="206" xr:uid="{00000000-0005-0000-0000-0000CE000000}"/>
    <cellStyle name="Normal 113" xfId="207" xr:uid="{00000000-0005-0000-0000-0000CF000000}"/>
    <cellStyle name="Normal 113 2" xfId="208" xr:uid="{00000000-0005-0000-0000-0000D0000000}"/>
    <cellStyle name="Normal 114" xfId="209" xr:uid="{00000000-0005-0000-0000-0000D1000000}"/>
    <cellStyle name="Normal 115" xfId="210" xr:uid="{00000000-0005-0000-0000-0000D2000000}"/>
    <cellStyle name="Normal 116" xfId="211" xr:uid="{00000000-0005-0000-0000-0000D3000000}"/>
    <cellStyle name="Normal 117" xfId="212" xr:uid="{00000000-0005-0000-0000-0000D4000000}"/>
    <cellStyle name="Normal 118" xfId="213" xr:uid="{00000000-0005-0000-0000-0000D5000000}"/>
    <cellStyle name="Normal 119" xfId="214" xr:uid="{00000000-0005-0000-0000-0000D6000000}"/>
    <cellStyle name="Normal 12" xfId="215" xr:uid="{00000000-0005-0000-0000-0000D7000000}"/>
    <cellStyle name="Normal 12 2" xfId="216" xr:uid="{00000000-0005-0000-0000-0000D8000000}"/>
    <cellStyle name="Normal 12 3" xfId="217" xr:uid="{00000000-0005-0000-0000-0000D9000000}"/>
    <cellStyle name="Normal 120" xfId="218" xr:uid="{00000000-0005-0000-0000-0000DA000000}"/>
    <cellStyle name="Normal 121" xfId="219" xr:uid="{00000000-0005-0000-0000-0000DB000000}"/>
    <cellStyle name="Normal 122" xfId="220" xr:uid="{00000000-0005-0000-0000-0000DC000000}"/>
    <cellStyle name="Normal 123" xfId="221" xr:uid="{00000000-0005-0000-0000-0000DD000000}"/>
    <cellStyle name="Normal 124" xfId="222" xr:uid="{00000000-0005-0000-0000-0000DE000000}"/>
    <cellStyle name="Normal 125" xfId="223" xr:uid="{00000000-0005-0000-0000-0000DF000000}"/>
    <cellStyle name="Normal 126" xfId="224" xr:uid="{00000000-0005-0000-0000-0000E0000000}"/>
    <cellStyle name="Normal 127" xfId="225" xr:uid="{00000000-0005-0000-0000-0000E1000000}"/>
    <cellStyle name="Normal 128" xfId="226" xr:uid="{00000000-0005-0000-0000-0000E2000000}"/>
    <cellStyle name="Normal 129" xfId="227" xr:uid="{00000000-0005-0000-0000-0000E3000000}"/>
    <cellStyle name="Normal 13" xfId="228" xr:uid="{00000000-0005-0000-0000-0000E4000000}"/>
    <cellStyle name="Normal 13 2" xfId="229" xr:uid="{00000000-0005-0000-0000-0000E5000000}"/>
    <cellStyle name="Normal 13 3" xfId="230" xr:uid="{00000000-0005-0000-0000-0000E6000000}"/>
    <cellStyle name="Normal 130" xfId="231" xr:uid="{00000000-0005-0000-0000-0000E7000000}"/>
    <cellStyle name="Normal 131" xfId="232" xr:uid="{00000000-0005-0000-0000-0000E8000000}"/>
    <cellStyle name="Normal 132" xfId="233" xr:uid="{00000000-0005-0000-0000-0000E9000000}"/>
    <cellStyle name="Normal 133" xfId="234" xr:uid="{00000000-0005-0000-0000-0000EA000000}"/>
    <cellStyle name="Normal 134" xfId="235" xr:uid="{00000000-0005-0000-0000-0000EB000000}"/>
    <cellStyle name="Normal 135" xfId="236" xr:uid="{00000000-0005-0000-0000-0000EC000000}"/>
    <cellStyle name="Normal 136" xfId="237" xr:uid="{00000000-0005-0000-0000-0000ED000000}"/>
    <cellStyle name="Normal 137" xfId="238" xr:uid="{00000000-0005-0000-0000-0000EE000000}"/>
    <cellStyle name="Normal 138" xfId="239" xr:uid="{00000000-0005-0000-0000-0000EF000000}"/>
    <cellStyle name="Normal 139" xfId="240" xr:uid="{00000000-0005-0000-0000-0000F0000000}"/>
    <cellStyle name="Normal 14" xfId="241" xr:uid="{00000000-0005-0000-0000-0000F1000000}"/>
    <cellStyle name="Normal 14 2" xfId="242" xr:uid="{00000000-0005-0000-0000-0000F2000000}"/>
    <cellStyle name="Normal 14 3" xfId="243" xr:uid="{00000000-0005-0000-0000-0000F3000000}"/>
    <cellStyle name="Normal 140" xfId="244" xr:uid="{00000000-0005-0000-0000-0000F4000000}"/>
    <cellStyle name="Normal 141" xfId="245" xr:uid="{00000000-0005-0000-0000-0000F5000000}"/>
    <cellStyle name="Normal 142" xfId="246" xr:uid="{00000000-0005-0000-0000-0000F6000000}"/>
    <cellStyle name="Normal 143" xfId="247" xr:uid="{00000000-0005-0000-0000-0000F7000000}"/>
    <cellStyle name="Normal 144" xfId="248" xr:uid="{00000000-0005-0000-0000-0000F8000000}"/>
    <cellStyle name="Normal 145" xfId="249" xr:uid="{00000000-0005-0000-0000-0000F9000000}"/>
    <cellStyle name="Normal 146" xfId="250" xr:uid="{00000000-0005-0000-0000-0000FA000000}"/>
    <cellStyle name="Normal 147" xfId="251" xr:uid="{00000000-0005-0000-0000-0000FB000000}"/>
    <cellStyle name="Normal 148" xfId="252" xr:uid="{00000000-0005-0000-0000-0000FC000000}"/>
    <cellStyle name="Normal 149" xfId="253" xr:uid="{00000000-0005-0000-0000-0000FD000000}"/>
    <cellStyle name="Normal 15" xfId="254" xr:uid="{00000000-0005-0000-0000-0000FE000000}"/>
    <cellStyle name="Normal 15 2" xfId="255" xr:uid="{00000000-0005-0000-0000-0000FF000000}"/>
    <cellStyle name="Normal 15 3" xfId="256" xr:uid="{00000000-0005-0000-0000-000000010000}"/>
    <cellStyle name="Normal 150" xfId="257" xr:uid="{00000000-0005-0000-0000-000001010000}"/>
    <cellStyle name="Normal 151" xfId="258" xr:uid="{00000000-0005-0000-0000-000002010000}"/>
    <cellStyle name="Normal 152" xfId="259" xr:uid="{00000000-0005-0000-0000-000003010000}"/>
    <cellStyle name="Normal 153" xfId="260" xr:uid="{00000000-0005-0000-0000-000004010000}"/>
    <cellStyle name="Normal 154" xfId="261" xr:uid="{00000000-0005-0000-0000-000005010000}"/>
    <cellStyle name="Normal 155" xfId="262" xr:uid="{00000000-0005-0000-0000-000006010000}"/>
    <cellStyle name="Normal 156" xfId="263" xr:uid="{00000000-0005-0000-0000-000007010000}"/>
    <cellStyle name="Normal 157" xfId="264" xr:uid="{00000000-0005-0000-0000-000008010000}"/>
    <cellStyle name="Normal 158" xfId="265" xr:uid="{00000000-0005-0000-0000-000009010000}"/>
    <cellStyle name="Normal 159" xfId="266" xr:uid="{00000000-0005-0000-0000-00000A010000}"/>
    <cellStyle name="Normal 16" xfId="267" xr:uid="{00000000-0005-0000-0000-00000B010000}"/>
    <cellStyle name="Normal 16 2" xfId="268" xr:uid="{00000000-0005-0000-0000-00000C010000}"/>
    <cellStyle name="Normal 16 3" xfId="269" xr:uid="{00000000-0005-0000-0000-00000D010000}"/>
    <cellStyle name="Normal 160" xfId="270" xr:uid="{00000000-0005-0000-0000-00000E010000}"/>
    <cellStyle name="Normal 161" xfId="271" xr:uid="{00000000-0005-0000-0000-00000F010000}"/>
    <cellStyle name="Normal 162" xfId="272" xr:uid="{00000000-0005-0000-0000-000010010000}"/>
    <cellStyle name="Normal 163" xfId="273" xr:uid="{00000000-0005-0000-0000-000011010000}"/>
    <cellStyle name="Normal 164" xfId="274" xr:uid="{00000000-0005-0000-0000-000012010000}"/>
    <cellStyle name="Normal 165" xfId="275" xr:uid="{00000000-0005-0000-0000-000013010000}"/>
    <cellStyle name="Normal 166" xfId="276" xr:uid="{00000000-0005-0000-0000-000014010000}"/>
    <cellStyle name="Normal 167" xfId="277" xr:uid="{00000000-0005-0000-0000-000015010000}"/>
    <cellStyle name="Normal 168" xfId="278" xr:uid="{00000000-0005-0000-0000-000016010000}"/>
    <cellStyle name="Normal 17" xfId="279" xr:uid="{00000000-0005-0000-0000-000017010000}"/>
    <cellStyle name="Normal 17 2" xfId="280" xr:uid="{00000000-0005-0000-0000-000018010000}"/>
    <cellStyle name="Normal 18" xfId="281" xr:uid="{00000000-0005-0000-0000-000019010000}"/>
    <cellStyle name="Normal 18 2" xfId="282" xr:uid="{00000000-0005-0000-0000-00001A010000}"/>
    <cellStyle name="Normal 18 3" xfId="283" xr:uid="{00000000-0005-0000-0000-00001B010000}"/>
    <cellStyle name="Normal 18 4" xfId="284" xr:uid="{00000000-0005-0000-0000-00001C010000}"/>
    <cellStyle name="Normal 19" xfId="285" xr:uid="{00000000-0005-0000-0000-00001D010000}"/>
    <cellStyle name="Normal 2" xfId="286" xr:uid="{00000000-0005-0000-0000-00001E010000}"/>
    <cellStyle name="Normal 2 2" xfId="287" xr:uid="{00000000-0005-0000-0000-00001F010000}"/>
    <cellStyle name="Normal 2 2 2" xfId="288" xr:uid="{00000000-0005-0000-0000-000020010000}"/>
    <cellStyle name="Normal 2 2 3" xfId="289" xr:uid="{00000000-0005-0000-0000-000021010000}"/>
    <cellStyle name="Normal 2 2 4" xfId="290" xr:uid="{00000000-0005-0000-0000-000022010000}"/>
    <cellStyle name="Normal 2 3" xfId="291" xr:uid="{00000000-0005-0000-0000-000023010000}"/>
    <cellStyle name="Normal 2 4" xfId="292" xr:uid="{00000000-0005-0000-0000-000024010000}"/>
    <cellStyle name="Normal 2 5" xfId="293" xr:uid="{00000000-0005-0000-0000-000025010000}"/>
    <cellStyle name="Normal 2_Data" xfId="294" xr:uid="{00000000-0005-0000-0000-000026010000}"/>
    <cellStyle name="Normal 20" xfId="295" xr:uid="{00000000-0005-0000-0000-000027010000}"/>
    <cellStyle name="Normal 21" xfId="296" xr:uid="{00000000-0005-0000-0000-000028010000}"/>
    <cellStyle name="Normal 22" xfId="297" xr:uid="{00000000-0005-0000-0000-000029010000}"/>
    <cellStyle name="Normal 23" xfId="298" xr:uid="{00000000-0005-0000-0000-00002A010000}"/>
    <cellStyle name="Normal 24" xfId="299" xr:uid="{00000000-0005-0000-0000-00002B010000}"/>
    <cellStyle name="Normal 24 2" xfId="300" xr:uid="{00000000-0005-0000-0000-00002C010000}"/>
    <cellStyle name="Normal 25" xfId="301" xr:uid="{00000000-0005-0000-0000-00002D010000}"/>
    <cellStyle name="Normal 25 2" xfId="302" xr:uid="{00000000-0005-0000-0000-00002E010000}"/>
    <cellStyle name="Normal 25 3" xfId="303" xr:uid="{00000000-0005-0000-0000-00002F010000}"/>
    <cellStyle name="Normal 25 4" xfId="304" xr:uid="{00000000-0005-0000-0000-000030010000}"/>
    <cellStyle name="Normal 26" xfId="305" xr:uid="{00000000-0005-0000-0000-000031010000}"/>
    <cellStyle name="Normal 26 2" xfId="306" xr:uid="{00000000-0005-0000-0000-000032010000}"/>
    <cellStyle name="Normal 27" xfId="307" xr:uid="{00000000-0005-0000-0000-000033010000}"/>
    <cellStyle name="Normal 27 2" xfId="308" xr:uid="{00000000-0005-0000-0000-000034010000}"/>
    <cellStyle name="Normal 28" xfId="309" xr:uid="{00000000-0005-0000-0000-000035010000}"/>
    <cellStyle name="Normal 28 2" xfId="310" xr:uid="{00000000-0005-0000-0000-000036010000}"/>
    <cellStyle name="Normal 29" xfId="311" xr:uid="{00000000-0005-0000-0000-000037010000}"/>
    <cellStyle name="Normal 29 2" xfId="312" xr:uid="{00000000-0005-0000-0000-000038010000}"/>
    <cellStyle name="Normal 3" xfId="313" xr:uid="{00000000-0005-0000-0000-000039010000}"/>
    <cellStyle name="Normal 3 2" xfId="314" xr:uid="{00000000-0005-0000-0000-00003A010000}"/>
    <cellStyle name="Normal 3 3" xfId="315" xr:uid="{00000000-0005-0000-0000-00003B010000}"/>
    <cellStyle name="Normal 30" xfId="316" xr:uid="{00000000-0005-0000-0000-00003C010000}"/>
    <cellStyle name="Normal 31" xfId="317" xr:uid="{00000000-0005-0000-0000-00003D010000}"/>
    <cellStyle name="Normal 32" xfId="318" xr:uid="{00000000-0005-0000-0000-00003E010000}"/>
    <cellStyle name="Normal 33" xfId="319" xr:uid="{00000000-0005-0000-0000-00003F010000}"/>
    <cellStyle name="Normal 33 2" xfId="320" xr:uid="{00000000-0005-0000-0000-000040010000}"/>
    <cellStyle name="Normal 33 2 2" xfId="321" xr:uid="{00000000-0005-0000-0000-000041010000}"/>
    <cellStyle name="Normal 33 2 3" xfId="322" xr:uid="{00000000-0005-0000-0000-000042010000}"/>
    <cellStyle name="Normal 33 3" xfId="323" xr:uid="{00000000-0005-0000-0000-000043010000}"/>
    <cellStyle name="Normal 33 4" xfId="324" xr:uid="{00000000-0005-0000-0000-000044010000}"/>
    <cellStyle name="Normal 34" xfId="325" xr:uid="{00000000-0005-0000-0000-000045010000}"/>
    <cellStyle name="Normal 34 2" xfId="326" xr:uid="{00000000-0005-0000-0000-000046010000}"/>
    <cellStyle name="Normal 34 3" xfId="327" xr:uid="{00000000-0005-0000-0000-000047010000}"/>
    <cellStyle name="Normal 34 4" xfId="328" xr:uid="{00000000-0005-0000-0000-000048010000}"/>
    <cellStyle name="Normal 34 5" xfId="329" xr:uid="{00000000-0005-0000-0000-000049010000}"/>
    <cellStyle name="Normal 35" xfId="330" xr:uid="{00000000-0005-0000-0000-00004A010000}"/>
    <cellStyle name="Normal 35 2" xfId="331" xr:uid="{00000000-0005-0000-0000-00004B010000}"/>
    <cellStyle name="Normal 35 3" xfId="332" xr:uid="{00000000-0005-0000-0000-00004C010000}"/>
    <cellStyle name="Normal 36" xfId="333" xr:uid="{00000000-0005-0000-0000-00004D010000}"/>
    <cellStyle name="Normal 36 2" xfId="334" xr:uid="{00000000-0005-0000-0000-00004E010000}"/>
    <cellStyle name="Normal 36 3" xfId="335" xr:uid="{00000000-0005-0000-0000-00004F010000}"/>
    <cellStyle name="Normal 37" xfId="336" xr:uid="{00000000-0005-0000-0000-000050010000}"/>
    <cellStyle name="Normal 37 2" xfId="337" xr:uid="{00000000-0005-0000-0000-000051010000}"/>
    <cellStyle name="Normal 37 3" xfId="338" xr:uid="{00000000-0005-0000-0000-000052010000}"/>
    <cellStyle name="Normal 38" xfId="339" xr:uid="{00000000-0005-0000-0000-000053010000}"/>
    <cellStyle name="Normal 38 2" xfId="340" xr:uid="{00000000-0005-0000-0000-000054010000}"/>
    <cellStyle name="Normal 38 3" xfId="341" xr:uid="{00000000-0005-0000-0000-000055010000}"/>
    <cellStyle name="Normal 39" xfId="342" xr:uid="{00000000-0005-0000-0000-000056010000}"/>
    <cellStyle name="Normal 39 2" xfId="343" xr:uid="{00000000-0005-0000-0000-000057010000}"/>
    <cellStyle name="Normal 39 3" xfId="344" xr:uid="{00000000-0005-0000-0000-000058010000}"/>
    <cellStyle name="Normal 4" xfId="345" xr:uid="{00000000-0005-0000-0000-000059010000}"/>
    <cellStyle name="Normal 4 2" xfId="346" xr:uid="{00000000-0005-0000-0000-00005A010000}"/>
    <cellStyle name="Normal 40" xfId="347" xr:uid="{00000000-0005-0000-0000-00005B010000}"/>
    <cellStyle name="Normal 40 2" xfId="348" xr:uid="{00000000-0005-0000-0000-00005C010000}"/>
    <cellStyle name="Normal 40 3" xfId="349" xr:uid="{00000000-0005-0000-0000-00005D010000}"/>
    <cellStyle name="Normal 40 4" xfId="350" xr:uid="{00000000-0005-0000-0000-00005E010000}"/>
    <cellStyle name="Normal 41" xfId="351" xr:uid="{00000000-0005-0000-0000-00005F010000}"/>
    <cellStyle name="Normal 42" xfId="352" xr:uid="{00000000-0005-0000-0000-000060010000}"/>
    <cellStyle name="Normal 43" xfId="353" xr:uid="{00000000-0005-0000-0000-000061010000}"/>
    <cellStyle name="Normal 44" xfId="354" xr:uid="{00000000-0005-0000-0000-000062010000}"/>
    <cellStyle name="Normal 45" xfId="355" xr:uid="{00000000-0005-0000-0000-000063010000}"/>
    <cellStyle name="Normal 46" xfId="356" xr:uid="{00000000-0005-0000-0000-000064010000}"/>
    <cellStyle name="Normal 47" xfId="357" xr:uid="{00000000-0005-0000-0000-000065010000}"/>
    <cellStyle name="Normal 48" xfId="358" xr:uid="{00000000-0005-0000-0000-000066010000}"/>
    <cellStyle name="Normal 49" xfId="359" xr:uid="{00000000-0005-0000-0000-000067010000}"/>
    <cellStyle name="Normal 5" xfId="360" xr:uid="{00000000-0005-0000-0000-000068010000}"/>
    <cellStyle name="Normal 5 2" xfId="361" xr:uid="{00000000-0005-0000-0000-000069010000}"/>
    <cellStyle name="Normal 5 3" xfId="362" xr:uid="{00000000-0005-0000-0000-00006A010000}"/>
    <cellStyle name="Normal 5 3 2" xfId="363" xr:uid="{00000000-0005-0000-0000-00006B010000}"/>
    <cellStyle name="Normal 5 4" xfId="364" xr:uid="{00000000-0005-0000-0000-00006C010000}"/>
    <cellStyle name="Normal 5 4 2" xfId="365" xr:uid="{00000000-0005-0000-0000-00006D010000}"/>
    <cellStyle name="Normal 5 5" xfId="366" xr:uid="{00000000-0005-0000-0000-00006E010000}"/>
    <cellStyle name="Normal 5 6" xfId="367" xr:uid="{00000000-0005-0000-0000-00006F010000}"/>
    <cellStyle name="Normal 5 7" xfId="368" xr:uid="{00000000-0005-0000-0000-000070010000}"/>
    <cellStyle name="Normal 50" xfId="369" xr:uid="{00000000-0005-0000-0000-000071010000}"/>
    <cellStyle name="Normal 51" xfId="370" xr:uid="{00000000-0005-0000-0000-000072010000}"/>
    <cellStyle name="Normal 52" xfId="371" xr:uid="{00000000-0005-0000-0000-000073010000}"/>
    <cellStyle name="Normal 53" xfId="372" xr:uid="{00000000-0005-0000-0000-000074010000}"/>
    <cellStyle name="Normal 54" xfId="373" xr:uid="{00000000-0005-0000-0000-000075010000}"/>
    <cellStyle name="Normal 55" xfId="374" xr:uid="{00000000-0005-0000-0000-000076010000}"/>
    <cellStyle name="Normal 56" xfId="375" xr:uid="{00000000-0005-0000-0000-000077010000}"/>
    <cellStyle name="Normal 57" xfId="376" xr:uid="{00000000-0005-0000-0000-000078010000}"/>
    <cellStyle name="Normal 58" xfId="377" xr:uid="{00000000-0005-0000-0000-000079010000}"/>
    <cellStyle name="Normal 59" xfId="378" xr:uid="{00000000-0005-0000-0000-00007A010000}"/>
    <cellStyle name="Normal 59 2" xfId="379" xr:uid="{00000000-0005-0000-0000-00007B010000}"/>
    <cellStyle name="Normal 59 3" xfId="380" xr:uid="{00000000-0005-0000-0000-00007C010000}"/>
    <cellStyle name="Normal 59 4" xfId="381" xr:uid="{00000000-0005-0000-0000-00007D010000}"/>
    <cellStyle name="Normal 6" xfId="382" xr:uid="{00000000-0005-0000-0000-00007E010000}"/>
    <cellStyle name="Normal 6 2" xfId="383" xr:uid="{00000000-0005-0000-0000-00007F010000}"/>
    <cellStyle name="Normal 60" xfId="384" xr:uid="{00000000-0005-0000-0000-000080010000}"/>
    <cellStyle name="Normal 61" xfId="385" xr:uid="{00000000-0005-0000-0000-000081010000}"/>
    <cellStyle name="Normal 61 2" xfId="386" xr:uid="{00000000-0005-0000-0000-000082010000}"/>
    <cellStyle name="Normal 61 3" xfId="387" xr:uid="{00000000-0005-0000-0000-000083010000}"/>
    <cellStyle name="Normal 61 4" xfId="388" xr:uid="{00000000-0005-0000-0000-000084010000}"/>
    <cellStyle name="Normal 62" xfId="389" xr:uid="{00000000-0005-0000-0000-000085010000}"/>
    <cellStyle name="Normal 62 2" xfId="390" xr:uid="{00000000-0005-0000-0000-000086010000}"/>
    <cellStyle name="Normal 62 3" xfId="391" xr:uid="{00000000-0005-0000-0000-000087010000}"/>
    <cellStyle name="Normal 62 4" xfId="392" xr:uid="{00000000-0005-0000-0000-000088010000}"/>
    <cellStyle name="Normal 63" xfId="393" xr:uid="{00000000-0005-0000-0000-000089010000}"/>
    <cellStyle name="Normal 63 2" xfId="394" xr:uid="{00000000-0005-0000-0000-00008A010000}"/>
    <cellStyle name="Normal 63 3" xfId="395" xr:uid="{00000000-0005-0000-0000-00008B010000}"/>
    <cellStyle name="Normal 63 4" xfId="396" xr:uid="{00000000-0005-0000-0000-00008C010000}"/>
    <cellStyle name="Normal 64" xfId="397" xr:uid="{00000000-0005-0000-0000-00008D010000}"/>
    <cellStyle name="Normal 64 2" xfId="398" xr:uid="{00000000-0005-0000-0000-00008E010000}"/>
    <cellStyle name="Normal 64 3" xfId="399" xr:uid="{00000000-0005-0000-0000-00008F010000}"/>
    <cellStyle name="Normal 64 4" xfId="400" xr:uid="{00000000-0005-0000-0000-000090010000}"/>
    <cellStyle name="Normal 65" xfId="401" xr:uid="{00000000-0005-0000-0000-000091010000}"/>
    <cellStyle name="Normal 65 2" xfId="402" xr:uid="{00000000-0005-0000-0000-000092010000}"/>
    <cellStyle name="Normal 65 3" xfId="403" xr:uid="{00000000-0005-0000-0000-000093010000}"/>
    <cellStyle name="Normal 65 4" xfId="404" xr:uid="{00000000-0005-0000-0000-000094010000}"/>
    <cellStyle name="Normal 66" xfId="405" xr:uid="{00000000-0005-0000-0000-000095010000}"/>
    <cellStyle name="Normal 66 2" xfId="406" xr:uid="{00000000-0005-0000-0000-000096010000}"/>
    <cellStyle name="Normal 66 3" xfId="407" xr:uid="{00000000-0005-0000-0000-000097010000}"/>
    <cellStyle name="Normal 66 4" xfId="408" xr:uid="{00000000-0005-0000-0000-000098010000}"/>
    <cellStyle name="Normal 67" xfId="409" xr:uid="{00000000-0005-0000-0000-000099010000}"/>
    <cellStyle name="Normal 67 2" xfId="410" xr:uid="{00000000-0005-0000-0000-00009A010000}"/>
    <cellStyle name="Normal 67 3" xfId="411" xr:uid="{00000000-0005-0000-0000-00009B010000}"/>
    <cellStyle name="Normal 67 4" xfId="412" xr:uid="{00000000-0005-0000-0000-00009C010000}"/>
    <cellStyle name="Normal 68" xfId="413" xr:uid="{00000000-0005-0000-0000-00009D010000}"/>
    <cellStyle name="Normal 68 2" xfId="414" xr:uid="{00000000-0005-0000-0000-00009E010000}"/>
    <cellStyle name="Normal 68 3" xfId="415" xr:uid="{00000000-0005-0000-0000-00009F010000}"/>
    <cellStyle name="Normal 68 4" xfId="416" xr:uid="{00000000-0005-0000-0000-0000A0010000}"/>
    <cellStyle name="Normal 69" xfId="417" xr:uid="{00000000-0005-0000-0000-0000A1010000}"/>
    <cellStyle name="Normal 69 2" xfId="418" xr:uid="{00000000-0005-0000-0000-0000A2010000}"/>
    <cellStyle name="Normal 69 3" xfId="419" xr:uid="{00000000-0005-0000-0000-0000A3010000}"/>
    <cellStyle name="Normal 69 4" xfId="420" xr:uid="{00000000-0005-0000-0000-0000A4010000}"/>
    <cellStyle name="Normal 7" xfId="421" xr:uid="{00000000-0005-0000-0000-0000A5010000}"/>
    <cellStyle name="Normal 7 2" xfId="422" xr:uid="{00000000-0005-0000-0000-0000A6010000}"/>
    <cellStyle name="Normal 7 3" xfId="423" xr:uid="{00000000-0005-0000-0000-0000A7010000}"/>
    <cellStyle name="Normal 7 4" xfId="424" xr:uid="{00000000-0005-0000-0000-0000A8010000}"/>
    <cellStyle name="Normal 70" xfId="425" xr:uid="{00000000-0005-0000-0000-0000A9010000}"/>
    <cellStyle name="Normal 70 2" xfId="426" xr:uid="{00000000-0005-0000-0000-0000AA010000}"/>
    <cellStyle name="Normal 70 3" xfId="427" xr:uid="{00000000-0005-0000-0000-0000AB010000}"/>
    <cellStyle name="Normal 70 4" xfId="428" xr:uid="{00000000-0005-0000-0000-0000AC010000}"/>
    <cellStyle name="Normal 71" xfId="429" xr:uid="{00000000-0005-0000-0000-0000AD010000}"/>
    <cellStyle name="Normal 71 2" xfId="430" xr:uid="{00000000-0005-0000-0000-0000AE010000}"/>
    <cellStyle name="Normal 71 3" xfId="431" xr:uid="{00000000-0005-0000-0000-0000AF010000}"/>
    <cellStyle name="Normal 71 4" xfId="432" xr:uid="{00000000-0005-0000-0000-0000B0010000}"/>
    <cellStyle name="Normal 72" xfId="433" xr:uid="{00000000-0005-0000-0000-0000B1010000}"/>
    <cellStyle name="Normal 72 2" xfId="434" xr:uid="{00000000-0005-0000-0000-0000B2010000}"/>
    <cellStyle name="Normal 72 3" xfId="435" xr:uid="{00000000-0005-0000-0000-0000B3010000}"/>
    <cellStyle name="Normal 72 4" xfId="436" xr:uid="{00000000-0005-0000-0000-0000B4010000}"/>
    <cellStyle name="Normal 73" xfId="437" xr:uid="{00000000-0005-0000-0000-0000B5010000}"/>
    <cellStyle name="Normal 73 2" xfId="438" xr:uid="{00000000-0005-0000-0000-0000B6010000}"/>
    <cellStyle name="Normal 73 3" xfId="439" xr:uid="{00000000-0005-0000-0000-0000B7010000}"/>
    <cellStyle name="Normal 73 4" xfId="440" xr:uid="{00000000-0005-0000-0000-0000B8010000}"/>
    <cellStyle name="Normal 74" xfId="441" xr:uid="{00000000-0005-0000-0000-0000B9010000}"/>
    <cellStyle name="Normal 74 2" xfId="442" xr:uid="{00000000-0005-0000-0000-0000BA010000}"/>
    <cellStyle name="Normal 74 3" xfId="443" xr:uid="{00000000-0005-0000-0000-0000BB010000}"/>
    <cellStyle name="Normal 74 4" xfId="444" xr:uid="{00000000-0005-0000-0000-0000BC010000}"/>
    <cellStyle name="Normal 75" xfId="445" xr:uid="{00000000-0005-0000-0000-0000BD010000}"/>
    <cellStyle name="Normal 75 2" xfId="446" xr:uid="{00000000-0005-0000-0000-0000BE010000}"/>
    <cellStyle name="Normal 75 3" xfId="447" xr:uid="{00000000-0005-0000-0000-0000BF010000}"/>
    <cellStyle name="Normal 75 4" xfId="448" xr:uid="{00000000-0005-0000-0000-0000C0010000}"/>
    <cellStyle name="Normal 76" xfId="449" xr:uid="{00000000-0005-0000-0000-0000C1010000}"/>
    <cellStyle name="Normal 76 2" xfId="450" xr:uid="{00000000-0005-0000-0000-0000C2010000}"/>
    <cellStyle name="Normal 76 3" xfId="451" xr:uid="{00000000-0005-0000-0000-0000C3010000}"/>
    <cellStyle name="Normal 76 4" xfId="452" xr:uid="{00000000-0005-0000-0000-0000C4010000}"/>
    <cellStyle name="Normal 77" xfId="453" xr:uid="{00000000-0005-0000-0000-0000C5010000}"/>
    <cellStyle name="Normal 77 2" xfId="454" xr:uid="{00000000-0005-0000-0000-0000C6010000}"/>
    <cellStyle name="Normal 77 3" xfId="455" xr:uid="{00000000-0005-0000-0000-0000C7010000}"/>
    <cellStyle name="Normal 77 4" xfId="456" xr:uid="{00000000-0005-0000-0000-0000C8010000}"/>
    <cellStyle name="Normal 78" xfId="457" xr:uid="{00000000-0005-0000-0000-0000C9010000}"/>
    <cellStyle name="Normal 79" xfId="458" xr:uid="{00000000-0005-0000-0000-0000CA010000}"/>
    <cellStyle name="Normal 8" xfId="459" xr:uid="{00000000-0005-0000-0000-0000CB010000}"/>
    <cellStyle name="Normal 8 2" xfId="460" xr:uid="{00000000-0005-0000-0000-0000CC010000}"/>
    <cellStyle name="Normal 8 3" xfId="461" xr:uid="{00000000-0005-0000-0000-0000CD010000}"/>
    <cellStyle name="Normal 80" xfId="462" xr:uid="{00000000-0005-0000-0000-0000CE010000}"/>
    <cellStyle name="Normal 81" xfId="463" xr:uid="{00000000-0005-0000-0000-0000CF010000}"/>
    <cellStyle name="Normal 82" xfId="464" xr:uid="{00000000-0005-0000-0000-0000D0010000}"/>
    <cellStyle name="Normal 83" xfId="465" xr:uid="{00000000-0005-0000-0000-0000D1010000}"/>
    <cellStyle name="Normal 84" xfId="466" xr:uid="{00000000-0005-0000-0000-0000D2010000}"/>
    <cellStyle name="Normal 85" xfId="467" xr:uid="{00000000-0005-0000-0000-0000D3010000}"/>
    <cellStyle name="Normal 86" xfId="468" xr:uid="{00000000-0005-0000-0000-0000D4010000}"/>
    <cellStyle name="Normal 87" xfId="469" xr:uid="{00000000-0005-0000-0000-0000D5010000}"/>
    <cellStyle name="Normal 87 2" xfId="470" xr:uid="{00000000-0005-0000-0000-0000D6010000}"/>
    <cellStyle name="Normal 88" xfId="471" xr:uid="{00000000-0005-0000-0000-0000D7010000}"/>
    <cellStyle name="Normal 88 2" xfId="472" xr:uid="{00000000-0005-0000-0000-0000D8010000}"/>
    <cellStyle name="Normal 89" xfId="473" xr:uid="{00000000-0005-0000-0000-0000D9010000}"/>
    <cellStyle name="Normal 9" xfId="474" xr:uid="{00000000-0005-0000-0000-0000DA010000}"/>
    <cellStyle name="Normal 9 2" xfId="475" xr:uid="{00000000-0005-0000-0000-0000DB010000}"/>
    <cellStyle name="Normal 9 3" xfId="476" xr:uid="{00000000-0005-0000-0000-0000DC010000}"/>
    <cellStyle name="Normal 90" xfId="477" xr:uid="{00000000-0005-0000-0000-0000DD010000}"/>
    <cellStyle name="Normal 91" xfId="478" xr:uid="{00000000-0005-0000-0000-0000DE010000}"/>
    <cellStyle name="Normal 92" xfId="479" xr:uid="{00000000-0005-0000-0000-0000DF010000}"/>
    <cellStyle name="Normal 93" xfId="480" xr:uid="{00000000-0005-0000-0000-0000E0010000}"/>
    <cellStyle name="Normal 94" xfId="481" xr:uid="{00000000-0005-0000-0000-0000E1010000}"/>
    <cellStyle name="Normal 94 2" xfId="482" xr:uid="{00000000-0005-0000-0000-0000E2010000}"/>
    <cellStyle name="Normal 95" xfId="483" xr:uid="{00000000-0005-0000-0000-0000E3010000}"/>
    <cellStyle name="Normal 95 2" xfId="484" xr:uid="{00000000-0005-0000-0000-0000E4010000}"/>
    <cellStyle name="Normal 96" xfId="485" xr:uid="{00000000-0005-0000-0000-0000E5010000}"/>
    <cellStyle name="Normal 96 2" xfId="486" xr:uid="{00000000-0005-0000-0000-0000E6010000}"/>
    <cellStyle name="Normal 97" xfId="487" xr:uid="{00000000-0005-0000-0000-0000E7010000}"/>
    <cellStyle name="Normal 97 2" xfId="488" xr:uid="{00000000-0005-0000-0000-0000E8010000}"/>
    <cellStyle name="Normal 98" xfId="489" xr:uid="{00000000-0005-0000-0000-0000E9010000}"/>
    <cellStyle name="Normal 98 2" xfId="490" xr:uid="{00000000-0005-0000-0000-0000EA010000}"/>
    <cellStyle name="Normal 99" xfId="491" xr:uid="{00000000-0005-0000-0000-0000EB010000}"/>
    <cellStyle name="Normal_Data" xfId="492" xr:uid="{00000000-0005-0000-0000-0000EC010000}"/>
    <cellStyle name="Note 2" xfId="493" xr:uid="{00000000-0005-0000-0000-0000ED010000}"/>
    <cellStyle name="Note 2 2" xfId="494" xr:uid="{00000000-0005-0000-0000-0000EE010000}"/>
    <cellStyle name="Note 3" xfId="495" xr:uid="{00000000-0005-0000-0000-0000EF010000}"/>
    <cellStyle name="Note 4" xfId="496" xr:uid="{00000000-0005-0000-0000-0000F0010000}"/>
    <cellStyle name="Output 2" xfId="497" xr:uid="{00000000-0005-0000-0000-0000F1010000}"/>
    <cellStyle name="Output 2 2" xfId="498" xr:uid="{00000000-0005-0000-0000-0000F2010000}"/>
    <cellStyle name="Output 3" xfId="499" xr:uid="{00000000-0005-0000-0000-0000F3010000}"/>
    <cellStyle name="Output Amounts" xfId="500" xr:uid="{00000000-0005-0000-0000-0000F4010000}"/>
    <cellStyle name="Output Column Headings" xfId="501" xr:uid="{00000000-0005-0000-0000-0000F5010000}"/>
    <cellStyle name="Output Line Items" xfId="502" xr:uid="{00000000-0005-0000-0000-0000F6010000}"/>
    <cellStyle name="Output Report Heading" xfId="503" xr:uid="{00000000-0005-0000-0000-0000F7010000}"/>
    <cellStyle name="Output Report Title" xfId="504" xr:uid="{00000000-0005-0000-0000-0000F8010000}"/>
    <cellStyle name="Percent" xfId="505" builtinId="5"/>
    <cellStyle name="Percent [2]" xfId="506" xr:uid="{00000000-0005-0000-0000-0000FA010000}"/>
    <cellStyle name="Percent 10" xfId="507" xr:uid="{00000000-0005-0000-0000-0000FB010000}"/>
    <cellStyle name="Percent 10 2" xfId="508" xr:uid="{00000000-0005-0000-0000-0000FC010000}"/>
    <cellStyle name="Percent 10 2 2" xfId="509" xr:uid="{00000000-0005-0000-0000-0000FD010000}"/>
    <cellStyle name="Percent 10 2 3" xfId="510" xr:uid="{00000000-0005-0000-0000-0000FE010000}"/>
    <cellStyle name="Percent 10 3" xfId="511" xr:uid="{00000000-0005-0000-0000-0000FF010000}"/>
    <cellStyle name="Percent 10 4" xfId="512" xr:uid="{00000000-0005-0000-0000-000000020000}"/>
    <cellStyle name="Percent 10 5" xfId="513" xr:uid="{00000000-0005-0000-0000-000001020000}"/>
    <cellStyle name="Percent 11" xfId="514" xr:uid="{00000000-0005-0000-0000-000002020000}"/>
    <cellStyle name="Percent 11 2" xfId="515" xr:uid="{00000000-0005-0000-0000-000003020000}"/>
    <cellStyle name="Percent 11 2 2" xfId="516" xr:uid="{00000000-0005-0000-0000-000004020000}"/>
    <cellStyle name="Percent 11 2 3" xfId="517" xr:uid="{00000000-0005-0000-0000-000005020000}"/>
    <cellStyle name="Percent 11 3" xfId="518" xr:uid="{00000000-0005-0000-0000-000006020000}"/>
    <cellStyle name="Percent 11 4" xfId="519" xr:uid="{00000000-0005-0000-0000-000007020000}"/>
    <cellStyle name="Percent 11 5" xfId="520" xr:uid="{00000000-0005-0000-0000-000008020000}"/>
    <cellStyle name="Percent 12" xfId="521" xr:uid="{00000000-0005-0000-0000-000009020000}"/>
    <cellStyle name="Percent 12 2" xfId="522" xr:uid="{00000000-0005-0000-0000-00000A020000}"/>
    <cellStyle name="Percent 12 3" xfId="523" xr:uid="{00000000-0005-0000-0000-00000B020000}"/>
    <cellStyle name="Percent 12 4" xfId="524" xr:uid="{00000000-0005-0000-0000-00000C020000}"/>
    <cellStyle name="Percent 12 5" xfId="525" xr:uid="{00000000-0005-0000-0000-00000D020000}"/>
    <cellStyle name="Percent 12 6" xfId="526" xr:uid="{00000000-0005-0000-0000-00000E020000}"/>
    <cellStyle name="Percent 13" xfId="527" xr:uid="{00000000-0005-0000-0000-00000F020000}"/>
    <cellStyle name="Percent 13 2" xfId="528" xr:uid="{00000000-0005-0000-0000-000010020000}"/>
    <cellStyle name="Percent 13 3" xfId="529" xr:uid="{00000000-0005-0000-0000-000011020000}"/>
    <cellStyle name="Percent 13 4" xfId="530" xr:uid="{00000000-0005-0000-0000-000012020000}"/>
    <cellStyle name="Percent 13 5" xfId="531" xr:uid="{00000000-0005-0000-0000-000013020000}"/>
    <cellStyle name="Percent 14" xfId="532" xr:uid="{00000000-0005-0000-0000-000014020000}"/>
    <cellStyle name="Percent 14 2" xfId="533" xr:uid="{00000000-0005-0000-0000-000015020000}"/>
    <cellStyle name="Percent 14 3" xfId="534" xr:uid="{00000000-0005-0000-0000-000016020000}"/>
    <cellStyle name="Percent 14 4" xfId="535" xr:uid="{00000000-0005-0000-0000-000017020000}"/>
    <cellStyle name="Percent 14 5" xfId="536" xr:uid="{00000000-0005-0000-0000-000018020000}"/>
    <cellStyle name="Percent 15" xfId="537" xr:uid="{00000000-0005-0000-0000-000019020000}"/>
    <cellStyle name="Percent 15 2" xfId="538" xr:uid="{00000000-0005-0000-0000-00001A020000}"/>
    <cellStyle name="Percent 15 3" xfId="539" xr:uid="{00000000-0005-0000-0000-00001B020000}"/>
    <cellStyle name="Percent 15 4" xfId="540" xr:uid="{00000000-0005-0000-0000-00001C020000}"/>
    <cellStyle name="Percent 15 5" xfId="541" xr:uid="{00000000-0005-0000-0000-00001D020000}"/>
    <cellStyle name="Percent 16" xfId="542" xr:uid="{00000000-0005-0000-0000-00001E020000}"/>
    <cellStyle name="Percent 16 2" xfId="543" xr:uid="{00000000-0005-0000-0000-00001F020000}"/>
    <cellStyle name="Percent 16 3" xfId="544" xr:uid="{00000000-0005-0000-0000-000020020000}"/>
    <cellStyle name="Percent 16 4" xfId="545" xr:uid="{00000000-0005-0000-0000-000021020000}"/>
    <cellStyle name="Percent 16 5" xfId="546" xr:uid="{00000000-0005-0000-0000-000022020000}"/>
    <cellStyle name="Percent 17" xfId="547" xr:uid="{00000000-0005-0000-0000-000023020000}"/>
    <cellStyle name="Percent 17 2" xfId="548" xr:uid="{00000000-0005-0000-0000-000024020000}"/>
    <cellStyle name="Percent 18" xfId="549" xr:uid="{00000000-0005-0000-0000-000025020000}"/>
    <cellStyle name="Percent 19" xfId="550" xr:uid="{00000000-0005-0000-0000-000026020000}"/>
    <cellStyle name="Percent 2" xfId="551" xr:uid="{00000000-0005-0000-0000-000027020000}"/>
    <cellStyle name="Percent 20" xfId="552" xr:uid="{00000000-0005-0000-0000-000028020000}"/>
    <cellStyle name="Percent 20 2" xfId="553" xr:uid="{00000000-0005-0000-0000-000029020000}"/>
    <cellStyle name="Percent 21" xfId="554" xr:uid="{00000000-0005-0000-0000-00002A020000}"/>
    <cellStyle name="Percent 22" xfId="555" xr:uid="{00000000-0005-0000-0000-00002B020000}"/>
    <cellStyle name="Percent 23" xfId="556" xr:uid="{00000000-0005-0000-0000-00002C020000}"/>
    <cellStyle name="Percent 24" xfId="557" xr:uid="{00000000-0005-0000-0000-00002D020000}"/>
    <cellStyle name="Percent 25" xfId="558" xr:uid="{00000000-0005-0000-0000-00002E020000}"/>
    <cellStyle name="Percent 26" xfId="559" xr:uid="{00000000-0005-0000-0000-00002F020000}"/>
    <cellStyle name="Percent 27" xfId="560" xr:uid="{00000000-0005-0000-0000-000030020000}"/>
    <cellStyle name="Percent 28" xfId="561" xr:uid="{00000000-0005-0000-0000-000031020000}"/>
    <cellStyle name="Percent 29" xfId="562" xr:uid="{00000000-0005-0000-0000-000032020000}"/>
    <cellStyle name="Percent 3" xfId="563" xr:uid="{00000000-0005-0000-0000-000033020000}"/>
    <cellStyle name="Percent 30" xfId="564" xr:uid="{00000000-0005-0000-0000-000034020000}"/>
    <cellStyle name="Percent 31" xfId="565" xr:uid="{00000000-0005-0000-0000-000035020000}"/>
    <cellStyle name="Percent 32" xfId="566" xr:uid="{00000000-0005-0000-0000-000036020000}"/>
    <cellStyle name="Percent 33" xfId="567" xr:uid="{00000000-0005-0000-0000-000037020000}"/>
    <cellStyle name="Percent 34" xfId="568" xr:uid="{00000000-0005-0000-0000-000038020000}"/>
    <cellStyle name="Percent 35" xfId="569" xr:uid="{00000000-0005-0000-0000-000039020000}"/>
    <cellStyle name="Percent 36" xfId="570" xr:uid="{00000000-0005-0000-0000-00003A020000}"/>
    <cellStyle name="Percent 37" xfId="571" xr:uid="{00000000-0005-0000-0000-00003B020000}"/>
    <cellStyle name="Percent 38" xfId="572" xr:uid="{00000000-0005-0000-0000-00003C020000}"/>
    <cellStyle name="Percent 39" xfId="573" xr:uid="{00000000-0005-0000-0000-00003D020000}"/>
    <cellStyle name="Percent 39 2" xfId="574" xr:uid="{00000000-0005-0000-0000-00003E020000}"/>
    <cellStyle name="Percent 39 2 2" xfId="575" xr:uid="{00000000-0005-0000-0000-00003F020000}"/>
    <cellStyle name="Percent 39 3" xfId="576" xr:uid="{00000000-0005-0000-0000-000040020000}"/>
    <cellStyle name="Percent 39 4" xfId="577" xr:uid="{00000000-0005-0000-0000-000041020000}"/>
    <cellStyle name="Percent 39 5" xfId="578" xr:uid="{00000000-0005-0000-0000-000042020000}"/>
    <cellStyle name="Percent 4" xfId="579" xr:uid="{00000000-0005-0000-0000-000043020000}"/>
    <cellStyle name="Percent 40" xfId="580" xr:uid="{00000000-0005-0000-0000-000044020000}"/>
    <cellStyle name="Percent 41" xfId="581" xr:uid="{00000000-0005-0000-0000-000045020000}"/>
    <cellStyle name="Percent 42" xfId="582" xr:uid="{00000000-0005-0000-0000-000046020000}"/>
    <cellStyle name="Percent 43" xfId="583" xr:uid="{00000000-0005-0000-0000-000047020000}"/>
    <cellStyle name="Percent 43 2" xfId="584" xr:uid="{00000000-0005-0000-0000-000048020000}"/>
    <cellStyle name="Percent 44" xfId="585" xr:uid="{00000000-0005-0000-0000-000049020000}"/>
    <cellStyle name="Percent 44 2" xfId="586" xr:uid="{00000000-0005-0000-0000-00004A020000}"/>
    <cellStyle name="Percent 45" xfId="587" xr:uid="{00000000-0005-0000-0000-00004B020000}"/>
    <cellStyle name="Percent 45 2" xfId="588" xr:uid="{00000000-0005-0000-0000-00004C020000}"/>
    <cellStyle name="Percent 46" xfId="589" xr:uid="{00000000-0005-0000-0000-00004D020000}"/>
    <cellStyle name="Percent 47" xfId="590" xr:uid="{00000000-0005-0000-0000-00004E020000}"/>
    <cellStyle name="Percent 48" xfId="591" xr:uid="{00000000-0005-0000-0000-00004F020000}"/>
    <cellStyle name="Percent 49" xfId="592" xr:uid="{00000000-0005-0000-0000-000050020000}"/>
    <cellStyle name="Percent 5" xfId="593" xr:uid="{00000000-0005-0000-0000-000051020000}"/>
    <cellStyle name="Percent 50" xfId="594" xr:uid="{00000000-0005-0000-0000-000052020000}"/>
    <cellStyle name="Percent 51" xfId="595" xr:uid="{00000000-0005-0000-0000-000053020000}"/>
    <cellStyle name="Percent 52" xfId="596" xr:uid="{00000000-0005-0000-0000-000054020000}"/>
    <cellStyle name="Percent 53" xfId="597" xr:uid="{00000000-0005-0000-0000-000055020000}"/>
    <cellStyle name="Percent 54" xfId="598" xr:uid="{00000000-0005-0000-0000-000056020000}"/>
    <cellStyle name="Percent 54 2" xfId="599" xr:uid="{00000000-0005-0000-0000-000057020000}"/>
    <cellStyle name="Percent 55" xfId="600" xr:uid="{00000000-0005-0000-0000-000058020000}"/>
    <cellStyle name="Percent 55 2" xfId="601" xr:uid="{00000000-0005-0000-0000-000059020000}"/>
    <cellStyle name="Percent 56" xfId="602" xr:uid="{00000000-0005-0000-0000-00005A020000}"/>
    <cellStyle name="Percent 56 2" xfId="603" xr:uid="{00000000-0005-0000-0000-00005B020000}"/>
    <cellStyle name="Percent 57" xfId="604" xr:uid="{00000000-0005-0000-0000-00005C020000}"/>
    <cellStyle name="Percent 57 2" xfId="605" xr:uid="{00000000-0005-0000-0000-00005D020000}"/>
    <cellStyle name="Percent 58" xfId="606" xr:uid="{00000000-0005-0000-0000-00005E020000}"/>
    <cellStyle name="Percent 58 2" xfId="607" xr:uid="{00000000-0005-0000-0000-00005F020000}"/>
    <cellStyle name="Percent 58 3" xfId="608" xr:uid="{00000000-0005-0000-0000-000060020000}"/>
    <cellStyle name="Percent 59" xfId="609" xr:uid="{00000000-0005-0000-0000-000061020000}"/>
    <cellStyle name="Percent 59 2" xfId="610" xr:uid="{00000000-0005-0000-0000-000062020000}"/>
    <cellStyle name="Percent 59 3" xfId="611" xr:uid="{00000000-0005-0000-0000-000063020000}"/>
    <cellStyle name="Percent 6" xfId="612" xr:uid="{00000000-0005-0000-0000-000064020000}"/>
    <cellStyle name="Percent 60" xfId="613" xr:uid="{00000000-0005-0000-0000-000065020000}"/>
    <cellStyle name="Percent 61" xfId="614" xr:uid="{00000000-0005-0000-0000-000066020000}"/>
    <cellStyle name="Percent 62" xfId="615" xr:uid="{00000000-0005-0000-0000-000067020000}"/>
    <cellStyle name="Percent 63" xfId="616" xr:uid="{00000000-0005-0000-0000-000068020000}"/>
    <cellStyle name="Percent 64" xfId="617" xr:uid="{00000000-0005-0000-0000-000069020000}"/>
    <cellStyle name="Percent 65" xfId="618" xr:uid="{00000000-0005-0000-0000-00006A020000}"/>
    <cellStyle name="Percent 66" xfId="619" xr:uid="{00000000-0005-0000-0000-00006B020000}"/>
    <cellStyle name="Percent 67" xfId="620" xr:uid="{00000000-0005-0000-0000-00006C020000}"/>
    <cellStyle name="Percent 68" xfId="621" xr:uid="{00000000-0005-0000-0000-00006D020000}"/>
    <cellStyle name="Percent 69" xfId="622" xr:uid="{00000000-0005-0000-0000-00006E020000}"/>
    <cellStyle name="Percent 7" xfId="623" xr:uid="{00000000-0005-0000-0000-00006F020000}"/>
    <cellStyle name="Percent 7 2" xfId="624" xr:uid="{00000000-0005-0000-0000-000070020000}"/>
    <cellStyle name="Percent 7 3" xfId="625" xr:uid="{00000000-0005-0000-0000-000071020000}"/>
    <cellStyle name="Percent 70" xfId="626" xr:uid="{00000000-0005-0000-0000-000072020000}"/>
    <cellStyle name="Percent 70 2" xfId="627" xr:uid="{00000000-0005-0000-0000-000073020000}"/>
    <cellStyle name="Percent 71" xfId="628" xr:uid="{00000000-0005-0000-0000-000074020000}"/>
    <cellStyle name="Percent 72" xfId="629" xr:uid="{00000000-0005-0000-0000-000075020000}"/>
    <cellStyle name="Percent 73" xfId="630" xr:uid="{00000000-0005-0000-0000-000076020000}"/>
    <cellStyle name="Percent 74" xfId="631" xr:uid="{00000000-0005-0000-0000-000077020000}"/>
    <cellStyle name="Percent 75" xfId="632" xr:uid="{00000000-0005-0000-0000-000078020000}"/>
    <cellStyle name="Percent 76" xfId="633" xr:uid="{00000000-0005-0000-0000-000079020000}"/>
    <cellStyle name="Percent 77" xfId="634" xr:uid="{00000000-0005-0000-0000-00007A020000}"/>
    <cellStyle name="Percent 78" xfId="635" xr:uid="{00000000-0005-0000-0000-00007B020000}"/>
    <cellStyle name="Percent 79" xfId="636" xr:uid="{00000000-0005-0000-0000-00007C020000}"/>
    <cellStyle name="Percent 8" xfId="637" xr:uid="{00000000-0005-0000-0000-00007D020000}"/>
    <cellStyle name="Percent 8 2" xfId="638" xr:uid="{00000000-0005-0000-0000-00007E020000}"/>
    <cellStyle name="Percent 8 3" xfId="639" xr:uid="{00000000-0005-0000-0000-00007F020000}"/>
    <cellStyle name="Percent 80" xfId="640" xr:uid="{00000000-0005-0000-0000-000080020000}"/>
    <cellStyle name="Percent 81" xfId="641" xr:uid="{00000000-0005-0000-0000-000081020000}"/>
    <cellStyle name="Percent 82" xfId="642" xr:uid="{00000000-0005-0000-0000-000082020000}"/>
    <cellStyle name="Percent 83" xfId="643" xr:uid="{00000000-0005-0000-0000-000083020000}"/>
    <cellStyle name="Percent 84" xfId="644" xr:uid="{00000000-0005-0000-0000-000084020000}"/>
    <cellStyle name="Percent 85" xfId="645" xr:uid="{00000000-0005-0000-0000-000085020000}"/>
    <cellStyle name="Percent 86" xfId="646" xr:uid="{00000000-0005-0000-0000-000086020000}"/>
    <cellStyle name="Percent 87" xfId="647" xr:uid="{00000000-0005-0000-0000-000087020000}"/>
    <cellStyle name="Percent 88" xfId="648" xr:uid="{00000000-0005-0000-0000-000088020000}"/>
    <cellStyle name="Percent 9" xfId="649" xr:uid="{00000000-0005-0000-0000-000089020000}"/>
    <cellStyle name="Percent 9 2" xfId="650" xr:uid="{00000000-0005-0000-0000-00008A020000}"/>
    <cellStyle name="Percent 9 3" xfId="651" xr:uid="{00000000-0005-0000-0000-00008B020000}"/>
    <cellStyle name="Pourcentage 2" xfId="652" xr:uid="{00000000-0005-0000-0000-00008C020000}"/>
    <cellStyle name="SAPBorder" xfId="653" xr:uid="{00000000-0005-0000-0000-00008D020000}"/>
    <cellStyle name="SAPBorder 2" xfId="654" xr:uid="{00000000-0005-0000-0000-00008E020000}"/>
    <cellStyle name="SAPDataCell" xfId="655" xr:uid="{00000000-0005-0000-0000-00008F020000}"/>
    <cellStyle name="SAPDataTotalCell" xfId="656" xr:uid="{00000000-0005-0000-0000-000090020000}"/>
    <cellStyle name="SAPDimensionCell" xfId="657" xr:uid="{00000000-0005-0000-0000-000091020000}"/>
    <cellStyle name="SAPDimensionCell 2" xfId="658" xr:uid="{00000000-0005-0000-0000-000092020000}"/>
    <cellStyle name="SAPEditableDataCell" xfId="659" xr:uid="{00000000-0005-0000-0000-000093020000}"/>
    <cellStyle name="SAPEditableDataCell 2" xfId="660" xr:uid="{00000000-0005-0000-0000-000094020000}"/>
    <cellStyle name="SAPEditableDataTotalCell" xfId="661" xr:uid="{00000000-0005-0000-0000-000095020000}"/>
    <cellStyle name="SAPEditableDataTotalCell 2" xfId="662" xr:uid="{00000000-0005-0000-0000-000096020000}"/>
    <cellStyle name="SAPEmphasized" xfId="663" xr:uid="{00000000-0005-0000-0000-000097020000}"/>
    <cellStyle name="SAPEmphasized 2" xfId="664" xr:uid="{00000000-0005-0000-0000-000098020000}"/>
    <cellStyle name="SAPEmphasizedEditableDataCell" xfId="665" xr:uid="{00000000-0005-0000-0000-000099020000}"/>
    <cellStyle name="SAPEmphasizedEditableDataCell 2" xfId="666" xr:uid="{00000000-0005-0000-0000-00009A020000}"/>
    <cellStyle name="SAPEmphasizedEditableDataTotalCell" xfId="667" xr:uid="{00000000-0005-0000-0000-00009B020000}"/>
    <cellStyle name="SAPEmphasizedEditableDataTotalCell 2" xfId="668" xr:uid="{00000000-0005-0000-0000-00009C020000}"/>
    <cellStyle name="SAPEmphasizedLockedDataCell" xfId="669" xr:uid="{00000000-0005-0000-0000-00009D020000}"/>
    <cellStyle name="SAPEmphasizedLockedDataTotalCell" xfId="670" xr:uid="{00000000-0005-0000-0000-00009E020000}"/>
    <cellStyle name="SAPEmphasizedReadonlyDataCell" xfId="671" xr:uid="{00000000-0005-0000-0000-00009F020000}"/>
    <cellStyle name="SAPEmphasizedReadonlyDataCell 2" xfId="672" xr:uid="{00000000-0005-0000-0000-0000A0020000}"/>
    <cellStyle name="SAPEmphasizedReadonlyDataTotalCell" xfId="673" xr:uid="{00000000-0005-0000-0000-0000A1020000}"/>
    <cellStyle name="SAPEmphasizedTotal" xfId="674" xr:uid="{00000000-0005-0000-0000-0000A2020000}"/>
    <cellStyle name="SAPExceptionLevel1" xfId="675" xr:uid="{00000000-0005-0000-0000-0000A3020000}"/>
    <cellStyle name="SAPExceptionLevel1 2" xfId="676" xr:uid="{00000000-0005-0000-0000-0000A4020000}"/>
    <cellStyle name="SAPExceptionLevel2" xfId="677" xr:uid="{00000000-0005-0000-0000-0000A5020000}"/>
    <cellStyle name="SAPExceptionLevel2 2" xfId="678" xr:uid="{00000000-0005-0000-0000-0000A6020000}"/>
    <cellStyle name="SAPExceptionLevel3" xfId="679" xr:uid="{00000000-0005-0000-0000-0000A7020000}"/>
    <cellStyle name="SAPExceptionLevel3 2" xfId="680" xr:uid="{00000000-0005-0000-0000-0000A8020000}"/>
    <cellStyle name="SAPExceptionLevel4" xfId="681" xr:uid="{00000000-0005-0000-0000-0000A9020000}"/>
    <cellStyle name="SAPExceptionLevel4 2" xfId="682" xr:uid="{00000000-0005-0000-0000-0000AA020000}"/>
    <cellStyle name="SAPExceptionLevel5" xfId="683" xr:uid="{00000000-0005-0000-0000-0000AB020000}"/>
    <cellStyle name="SAPExceptionLevel5 2" xfId="684" xr:uid="{00000000-0005-0000-0000-0000AC020000}"/>
    <cellStyle name="SAPExceptionLevel6" xfId="685" xr:uid="{00000000-0005-0000-0000-0000AD020000}"/>
    <cellStyle name="SAPExceptionLevel6 2" xfId="686" xr:uid="{00000000-0005-0000-0000-0000AE020000}"/>
    <cellStyle name="SAPExceptionLevel7" xfId="687" xr:uid="{00000000-0005-0000-0000-0000AF020000}"/>
    <cellStyle name="SAPExceptionLevel7 2" xfId="688" xr:uid="{00000000-0005-0000-0000-0000B0020000}"/>
    <cellStyle name="SAPExceptionLevel8" xfId="689" xr:uid="{00000000-0005-0000-0000-0000B1020000}"/>
    <cellStyle name="SAPExceptionLevel8 2" xfId="690" xr:uid="{00000000-0005-0000-0000-0000B2020000}"/>
    <cellStyle name="SAPExceptionLevel9" xfId="691" xr:uid="{00000000-0005-0000-0000-0000B3020000}"/>
    <cellStyle name="SAPExceptionLevel9 2" xfId="692" xr:uid="{00000000-0005-0000-0000-0000B4020000}"/>
    <cellStyle name="SAPHierarchyCell" xfId="693" xr:uid="{00000000-0005-0000-0000-0000B5020000}"/>
    <cellStyle name="SAPHierarchyCell0" xfId="694" xr:uid="{00000000-0005-0000-0000-0000B6020000}"/>
    <cellStyle name="SAPHierarchyCell0 2" xfId="695" xr:uid="{00000000-0005-0000-0000-0000B7020000}"/>
    <cellStyle name="SAPHierarchyCell1" xfId="696" xr:uid="{00000000-0005-0000-0000-0000B8020000}"/>
    <cellStyle name="SAPHierarchyCell1 2" xfId="697" xr:uid="{00000000-0005-0000-0000-0000B9020000}"/>
    <cellStyle name="SAPHierarchyCell2" xfId="698" xr:uid="{00000000-0005-0000-0000-0000BA020000}"/>
    <cellStyle name="SAPHierarchyCell2 2" xfId="699" xr:uid="{00000000-0005-0000-0000-0000BB020000}"/>
    <cellStyle name="SAPHierarchyCell3" xfId="700" xr:uid="{00000000-0005-0000-0000-0000BC020000}"/>
    <cellStyle name="SAPHierarchyCell3 2" xfId="701" xr:uid="{00000000-0005-0000-0000-0000BD020000}"/>
    <cellStyle name="SAPHierarchyCell4" xfId="702" xr:uid="{00000000-0005-0000-0000-0000BE020000}"/>
    <cellStyle name="SAPHierarchyCell4 2" xfId="703" xr:uid="{00000000-0005-0000-0000-0000BF020000}"/>
    <cellStyle name="SAPHierarchyOddCell" xfId="704" xr:uid="{00000000-0005-0000-0000-0000C0020000}"/>
    <cellStyle name="SAPLockedDataCell" xfId="705" xr:uid="{00000000-0005-0000-0000-0000C1020000}"/>
    <cellStyle name="SAPLockedDataTotalCell" xfId="706" xr:uid="{00000000-0005-0000-0000-0000C2020000}"/>
    <cellStyle name="SAPMemberCell" xfId="707" xr:uid="{00000000-0005-0000-0000-0000C3020000}"/>
    <cellStyle name="SAPMemberCell 2" xfId="708" xr:uid="{00000000-0005-0000-0000-0000C4020000}"/>
    <cellStyle name="SAPMemberTotalCell" xfId="709" xr:uid="{00000000-0005-0000-0000-0000C5020000}"/>
    <cellStyle name="SAPMemberTotalCell 2" xfId="710" xr:uid="{00000000-0005-0000-0000-0000C6020000}"/>
    <cellStyle name="SAPReadonlyDataCell" xfId="711" xr:uid="{00000000-0005-0000-0000-0000C7020000}"/>
    <cellStyle name="SAPReadonlyDataCell 2" xfId="712" xr:uid="{00000000-0005-0000-0000-0000C8020000}"/>
    <cellStyle name="SAPReadonlyDataTotalCell" xfId="713" xr:uid="{00000000-0005-0000-0000-0000C9020000}"/>
    <cellStyle name="Satisfaisant" xfId="714" xr:uid="{00000000-0005-0000-0000-0000CA020000}"/>
    <cellStyle name="Sortie" xfId="715" xr:uid="{00000000-0005-0000-0000-0000CB020000}"/>
    <cellStyle name="Sortie 2" xfId="716" xr:uid="{00000000-0005-0000-0000-0000CC020000}"/>
    <cellStyle name="Texte explicatif" xfId="717" xr:uid="{00000000-0005-0000-0000-0000CD020000}"/>
    <cellStyle name="Title 2" xfId="718" xr:uid="{00000000-0005-0000-0000-0000CE020000}"/>
    <cellStyle name="Title 3" xfId="719" xr:uid="{00000000-0005-0000-0000-0000CF020000}"/>
    <cellStyle name="Titre" xfId="720" xr:uid="{00000000-0005-0000-0000-0000D0020000}"/>
    <cellStyle name="Titre 1" xfId="721" xr:uid="{00000000-0005-0000-0000-0000D1020000}"/>
    <cellStyle name="Titre 2" xfId="722" xr:uid="{00000000-0005-0000-0000-0000D2020000}"/>
    <cellStyle name="Titre 3" xfId="723" xr:uid="{00000000-0005-0000-0000-0000D3020000}"/>
    <cellStyle name="Titre 4" xfId="724" xr:uid="{00000000-0005-0000-0000-0000D4020000}"/>
    <cellStyle name="Total 2" xfId="725" xr:uid="{00000000-0005-0000-0000-0000D5020000}"/>
    <cellStyle name="Total 2 2" xfId="726" xr:uid="{00000000-0005-0000-0000-0000D6020000}"/>
    <cellStyle name="Total 3" xfId="727" xr:uid="{00000000-0005-0000-0000-0000D7020000}"/>
    <cellStyle name="Unprot" xfId="728" xr:uid="{00000000-0005-0000-0000-0000D8020000}"/>
    <cellStyle name="Unprot$" xfId="729" xr:uid="{00000000-0005-0000-0000-0000D9020000}"/>
    <cellStyle name="Unprotect" xfId="730" xr:uid="{00000000-0005-0000-0000-0000DA020000}"/>
    <cellStyle name="Vérification" xfId="731" xr:uid="{00000000-0005-0000-0000-0000DB020000}"/>
    <cellStyle name="Warning Text 2" xfId="732" xr:uid="{00000000-0005-0000-0000-0000DC02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DDDDD"/>
      <rgbColor rgb="00CC99FF"/>
      <rgbColor rgb="00D7E9F2"/>
      <rgbColor rgb="003366FF"/>
      <rgbColor rgb="0033CCCC"/>
      <rgbColor rgb="0099CC00"/>
      <rgbColor rgb="009BBFDB"/>
      <rgbColor rgb="005A82A6"/>
      <rgbColor rgb="0033495F"/>
      <rgbColor rgb="00666699"/>
      <rgbColor rgb="00969696"/>
      <rgbColor rgb="00003366"/>
      <rgbColor rgb="00339966"/>
      <rgbColor rgb="00003300"/>
      <rgbColor rgb="00333300"/>
      <rgbColor rgb="001D3961"/>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257175</xdr:colOff>
      <xdr:row>0</xdr:row>
      <xdr:rowOff>47625</xdr:rowOff>
    </xdr:from>
    <xdr:to>
      <xdr:col>7</xdr:col>
      <xdr:colOff>85725</xdr:colOff>
      <xdr:row>2</xdr:row>
      <xdr:rowOff>152400</xdr:rowOff>
    </xdr:to>
    <xdr:pic>
      <xdr:nvPicPr>
        <xdr:cNvPr id="6068" name="Picture 1">
          <a:extLst>
            <a:ext uri="{FF2B5EF4-FFF2-40B4-BE49-F238E27FC236}">
              <a16:creationId xmlns:a16="http://schemas.microsoft.com/office/drawing/2014/main" id="{CB24F8A0-9DA8-46F4-8E0A-F07A7EE68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47625"/>
          <a:ext cx="11620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2</xdr:row>
      <xdr:rowOff>190500</xdr:rowOff>
    </xdr:from>
    <xdr:to>
      <xdr:col>6</xdr:col>
      <xdr:colOff>161925</xdr:colOff>
      <xdr:row>4</xdr:row>
      <xdr:rowOff>104775</xdr:rowOff>
    </xdr:to>
    <xdr:pic>
      <xdr:nvPicPr>
        <xdr:cNvPr id="6069" name="Picture 1">
          <a:extLst>
            <a:ext uri="{FF2B5EF4-FFF2-40B4-BE49-F238E27FC236}">
              <a16:creationId xmlns:a16="http://schemas.microsoft.com/office/drawing/2014/main" id="{F139881C-5557-4950-8CA1-50B2BB6F979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 y="561975"/>
          <a:ext cx="12858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19Profit/MHEDA/Prep/2019%20StorageHandling%20DiSC%20Surve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03Profit/Ingc/ingcq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Confidentiality"/>
      <sheetName val="Operations"/>
      <sheetName val="Balance Sheet"/>
      <sheetName val="Income Statement"/>
      <sheetName val="ProdDept"/>
      <sheetName val="Print"/>
      <sheetName val="Data"/>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Confidentiality"/>
      <sheetName val="Genl Info"/>
      <sheetName val="Exec Comp"/>
      <sheetName val="Employee Comp"/>
      <sheetName val="Sales Staff Policy"/>
      <sheetName val="Service Staff Policy"/>
      <sheetName val="Benefit Programs"/>
      <sheetName val="Print"/>
    </sheetNames>
    <sheetDataSet>
      <sheetData sheetId="0"/>
      <sheetData sheetId="1"/>
      <sheetData sheetId="2"/>
      <sheetData sheetId="3">
        <row r="2">
          <cell r="N2" t="str">
            <v>Y</v>
          </cell>
        </row>
        <row r="3">
          <cell r="N3" t="str">
            <v>N</v>
          </cell>
        </row>
        <row r="4">
          <cell r="N4" t="str">
            <v>y</v>
          </cell>
        </row>
        <row r="5">
          <cell r="N5" t="str">
            <v>n</v>
          </cell>
        </row>
        <row r="6">
          <cell r="N6" t="str">
            <v xml:space="preserve"> </v>
          </cell>
        </row>
      </sheetData>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ohn@mackayresearchgroup.com" TargetMode="External"/><Relationship Id="rId7" Type="http://schemas.openxmlformats.org/officeDocument/2006/relationships/drawing" Target="../drawings/drawing1.xml"/><Relationship Id="rId2" Type="http://schemas.openxmlformats.org/officeDocument/2006/relationships/hyperlink" Target="mailto:taylor@mackayresearchgroup.com" TargetMode="External"/><Relationship Id="rId1" Type="http://schemas.openxmlformats.org/officeDocument/2006/relationships/hyperlink" Target="mailto:surveys@mackayresearchgroup.com" TargetMode="External"/><Relationship Id="rId6" Type="http://schemas.openxmlformats.org/officeDocument/2006/relationships/printerSettings" Target="../printerSettings/printerSettings1.bin"/><Relationship Id="rId5" Type="http://schemas.openxmlformats.org/officeDocument/2006/relationships/hyperlink" Target="mailto:surveys@BenchmarkingAnalytics.com" TargetMode="External"/><Relationship Id="rId4" Type="http://schemas.openxmlformats.org/officeDocument/2006/relationships/hyperlink" Target="mailto:tmackay@BenchmarkingAnalytics.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surveys@benchmarkinganalytics.com" TargetMode="External"/><Relationship Id="rId1" Type="http://schemas.openxmlformats.org/officeDocument/2006/relationships/hyperlink" Target="mailto:surveys@mackayresearchgroup.com"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info@mackayresearchgroup.com" TargetMode="External"/><Relationship Id="rId7" Type="http://schemas.openxmlformats.org/officeDocument/2006/relationships/printerSettings" Target="../printerSettings/printerSettings6.bin"/><Relationship Id="rId2" Type="http://schemas.openxmlformats.org/officeDocument/2006/relationships/hyperlink" Target="mailto:surveys@mackayresearchgroup.com" TargetMode="External"/><Relationship Id="rId1" Type="http://schemas.openxmlformats.org/officeDocument/2006/relationships/hyperlink" Target="mailto:surveys@mackayresearchgroup.com" TargetMode="External"/><Relationship Id="rId6" Type="http://schemas.openxmlformats.org/officeDocument/2006/relationships/hyperlink" Target="mailto:taylor@mackayresearchgroup.com" TargetMode="External"/><Relationship Id="rId5" Type="http://schemas.openxmlformats.org/officeDocument/2006/relationships/hyperlink" Target="mailto:surveys@mackayresearchgroup.com" TargetMode="External"/><Relationship Id="rId4" Type="http://schemas.openxmlformats.org/officeDocument/2006/relationships/hyperlink" Target="mailto:surveys@mackayresearchgroup.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1"/>
  <sheetViews>
    <sheetView showGridLines="0" showRowColHeaders="0" tabSelected="1" zoomScaleNormal="100" zoomScaleSheetLayoutView="90" workbookViewId="0">
      <selection activeCell="P24" sqref="P24:T24"/>
    </sheetView>
  </sheetViews>
  <sheetFormatPr defaultColWidth="0" defaultRowHeight="12.75"/>
  <cols>
    <col min="1" max="1" width="4.5703125" customWidth="1"/>
    <col min="2" max="15" width="2.5703125" customWidth="1"/>
    <col min="16" max="16" width="15.5703125" customWidth="1"/>
    <col min="17" max="17" width="2.5703125" customWidth="1"/>
    <col min="18" max="18" width="15.5703125" customWidth="1"/>
    <col min="19" max="19" width="2.5703125" customWidth="1"/>
    <col min="20" max="20" width="18.5703125" customWidth="1"/>
    <col min="21" max="21" width="4.5703125" customWidth="1"/>
    <col min="22" max="22" width="18.5703125" hidden="1" customWidth="1"/>
    <col min="23" max="23" width="6.5703125" hidden="1" customWidth="1"/>
  </cols>
  <sheetData>
    <row r="1" spans="1:21" s="195" customFormat="1">
      <c r="A1"/>
      <c r="B1"/>
      <c r="C1"/>
      <c r="D1"/>
      <c r="E1"/>
      <c r="F1"/>
      <c r="G1"/>
      <c r="H1"/>
      <c r="I1"/>
      <c r="J1"/>
      <c r="K1"/>
      <c r="L1" s="341"/>
      <c r="M1"/>
      <c r="N1"/>
      <c r="O1"/>
      <c r="P1"/>
      <c r="Q1"/>
      <c r="R1"/>
      <c r="S1"/>
      <c r="T1" s="42" t="s">
        <v>13</v>
      </c>
      <c r="U1"/>
    </row>
    <row r="2" spans="1:21" s="195" customFormat="1" ht="16.5" thickBot="1">
      <c r="A2"/>
      <c r="B2"/>
      <c r="C2" s="342"/>
      <c r="D2"/>
      <c r="E2"/>
      <c r="F2"/>
      <c r="G2"/>
      <c r="H2"/>
      <c r="I2"/>
      <c r="J2"/>
      <c r="K2"/>
      <c r="L2"/>
      <c r="M2"/>
      <c r="N2"/>
      <c r="O2"/>
      <c r="P2"/>
      <c r="Q2"/>
      <c r="R2"/>
      <c r="S2"/>
      <c r="T2" s="43">
        <v>45044</v>
      </c>
      <c r="U2"/>
    </row>
    <row r="3" spans="1:21" s="195" customFormat="1" ht="18" customHeight="1">
      <c r="A3"/>
      <c r="B3" s="343"/>
      <c r="C3" s="342"/>
      <c r="D3"/>
      <c r="E3"/>
      <c r="F3"/>
      <c r="G3"/>
      <c r="H3"/>
      <c r="I3"/>
      <c r="J3"/>
      <c r="K3" s="146"/>
      <c r="L3" s="146"/>
      <c r="M3" s="146"/>
      <c r="N3" s="146"/>
      <c r="O3" s="146"/>
      <c r="P3" s="344" t="s">
        <v>58</v>
      </c>
      <c r="Q3"/>
      <c r="R3"/>
      <c r="S3" s="345"/>
      <c r="T3"/>
      <c r="U3"/>
    </row>
    <row r="4" spans="1:21" s="195" customFormat="1" ht="18" customHeight="1">
      <c r="A4"/>
      <c r="B4" s="342"/>
      <c r="C4" s="342"/>
      <c r="D4"/>
      <c r="E4"/>
      <c r="F4"/>
      <c r="G4"/>
      <c r="H4"/>
      <c r="I4"/>
      <c r="J4"/>
      <c r="K4" s="461">
        <v>2023</v>
      </c>
      <c r="L4" s="462"/>
      <c r="M4" s="462"/>
      <c r="N4" s="462"/>
      <c r="O4" s="346" t="s">
        <v>455</v>
      </c>
      <c r="P4" s="347"/>
      <c r="Q4"/>
      <c r="R4" s="14"/>
      <c r="S4"/>
      <c r="T4"/>
      <c r="U4"/>
    </row>
    <row r="5" spans="1:21" s="195" customFormat="1" ht="18" customHeight="1">
      <c r="A5"/>
      <c r="B5"/>
      <c r="C5"/>
      <c r="D5"/>
      <c r="E5"/>
      <c r="F5"/>
      <c r="G5"/>
      <c r="H5"/>
      <c r="I5"/>
      <c r="J5"/>
      <c r="K5" s="146"/>
      <c r="L5" s="146"/>
      <c r="M5" s="146"/>
      <c r="N5" s="146"/>
      <c r="O5" s="146"/>
      <c r="P5" s="344" t="s">
        <v>740</v>
      </c>
      <c r="Q5"/>
      <c r="R5"/>
      <c r="S5"/>
      <c r="T5"/>
      <c r="U5"/>
    </row>
    <row r="6" spans="1:21" ht="6" customHeight="1">
      <c r="P6" s="14"/>
    </row>
    <row r="7" spans="1:21" ht="54.95" customHeight="1">
      <c r="B7" s="470" t="s">
        <v>457</v>
      </c>
      <c r="C7" s="471"/>
      <c r="D7" s="471"/>
      <c r="E7" s="471"/>
      <c r="F7" s="471"/>
      <c r="G7" s="471"/>
      <c r="H7" s="471"/>
      <c r="I7" s="471"/>
      <c r="J7" s="471"/>
      <c r="K7" s="471"/>
      <c r="L7" s="471"/>
      <c r="M7" s="471"/>
      <c r="N7" s="471"/>
      <c r="O7" s="471"/>
      <c r="P7" s="471"/>
      <c r="Q7" s="471"/>
      <c r="R7" s="471"/>
      <c r="S7" s="471"/>
      <c r="T7" s="471"/>
    </row>
    <row r="8" spans="1:21" ht="6" customHeight="1" thickBot="1">
      <c r="P8" s="14"/>
    </row>
    <row r="9" spans="1:21" ht="12.75" customHeight="1">
      <c r="B9" s="360"/>
      <c r="C9" s="348"/>
      <c r="D9" s="348"/>
      <c r="E9" s="348"/>
      <c r="F9" s="348"/>
      <c r="G9" s="348"/>
      <c r="H9" s="348"/>
      <c r="I9" s="348"/>
      <c r="J9" s="348"/>
      <c r="K9" s="348"/>
      <c r="L9" s="348"/>
      <c r="M9" s="348"/>
      <c r="N9" s="348"/>
      <c r="O9" s="349"/>
      <c r="P9" s="350" t="s">
        <v>271</v>
      </c>
      <c r="Q9" s="348"/>
      <c r="R9" s="348"/>
      <c r="S9" s="348"/>
      <c r="T9" s="351"/>
    </row>
    <row r="10" spans="1:21" ht="12.75" customHeight="1">
      <c r="B10" s="361"/>
      <c r="C10" s="352"/>
      <c r="D10" s="352"/>
      <c r="E10" s="352"/>
      <c r="F10" s="352"/>
      <c r="G10" s="352"/>
      <c r="H10" s="352"/>
      <c r="I10" s="352"/>
      <c r="J10" s="352"/>
      <c r="K10" s="352"/>
      <c r="L10" s="352"/>
      <c r="M10" s="352"/>
      <c r="N10" s="352"/>
      <c r="O10" s="353"/>
      <c r="P10" s="354" t="s">
        <v>456</v>
      </c>
      <c r="Q10" s="352"/>
      <c r="R10" s="352"/>
      <c r="S10" s="352"/>
      <c r="T10" s="355"/>
    </row>
    <row r="11" spans="1:21" ht="12.75" customHeight="1" thickBot="1">
      <c r="B11" s="362"/>
      <c r="C11" s="356"/>
      <c r="D11" s="356"/>
      <c r="E11" s="356"/>
      <c r="F11" s="356"/>
      <c r="G11" s="356"/>
      <c r="H11" s="356"/>
      <c r="I11" s="356"/>
      <c r="J11" s="356"/>
      <c r="K11" s="356"/>
      <c r="L11" s="356"/>
      <c r="M11" s="356"/>
      <c r="N11" s="356"/>
      <c r="O11" s="357"/>
      <c r="P11" s="358" t="s">
        <v>14</v>
      </c>
      <c r="Q11" s="356"/>
      <c r="R11" s="356"/>
      <c r="S11" s="356"/>
      <c r="T11" s="359"/>
    </row>
    <row r="12" spans="1:21" ht="12.75" customHeight="1">
      <c r="B12" s="8"/>
      <c r="C12" s="6"/>
      <c r="N12" s="7"/>
      <c r="O12" s="7"/>
      <c r="P12" s="7"/>
      <c r="Q12" s="7"/>
      <c r="R12" s="7"/>
    </row>
    <row r="13" spans="1:21" ht="12.75" customHeight="1">
      <c r="B13" s="1" t="s">
        <v>15</v>
      </c>
      <c r="C13" s="6"/>
      <c r="N13" s="7"/>
      <c r="O13" s="7"/>
      <c r="P13" s="7"/>
      <c r="Q13" s="7"/>
      <c r="R13" s="7"/>
    </row>
    <row r="14" spans="1:21" s="4" customFormat="1" ht="12.75" customHeight="1">
      <c r="A14" s="9" t="s">
        <v>19</v>
      </c>
      <c r="B14" s="4" t="s">
        <v>16</v>
      </c>
      <c r="C14" s="7"/>
      <c r="N14" s="7"/>
      <c r="O14" s="7"/>
      <c r="P14" s="7"/>
      <c r="Q14" s="7"/>
      <c r="R14" s="7"/>
    </row>
    <row r="15" spans="1:21" s="4" customFormat="1" ht="12.75" customHeight="1">
      <c r="A15" s="9"/>
      <c r="B15" s="4" t="s">
        <v>17</v>
      </c>
      <c r="C15" s="7"/>
      <c r="N15" s="7"/>
      <c r="O15" s="7"/>
      <c r="P15" s="7"/>
      <c r="Q15" s="7"/>
      <c r="R15" s="7"/>
    </row>
    <row r="16" spans="1:21" s="4" customFormat="1" ht="12.75" customHeight="1">
      <c r="A16" s="9" t="s">
        <v>20</v>
      </c>
      <c r="B16" t="s">
        <v>77</v>
      </c>
      <c r="C16" s="7"/>
      <c r="N16" s="7"/>
      <c r="O16" s="7"/>
      <c r="P16" s="7"/>
      <c r="Q16" s="7"/>
      <c r="R16" s="7"/>
    </row>
    <row r="17" spans="1:20" s="4" customFormat="1" ht="12.75" customHeight="1">
      <c r="A17" s="9" t="s">
        <v>21</v>
      </c>
      <c r="B17" s="145" t="s">
        <v>147</v>
      </c>
      <c r="C17" s="7"/>
      <c r="N17" s="7"/>
      <c r="O17" s="7"/>
      <c r="P17" s="7"/>
      <c r="Q17" s="7"/>
      <c r="R17" s="7"/>
    </row>
    <row r="18" spans="1:20" s="4" customFormat="1" ht="12.75" customHeight="1">
      <c r="A18" s="9"/>
      <c r="B18" s="145" t="s">
        <v>458</v>
      </c>
      <c r="C18" s="7"/>
      <c r="N18" s="7"/>
      <c r="O18" s="7"/>
      <c r="P18" s="7"/>
      <c r="Q18" s="7"/>
      <c r="R18" s="7"/>
    </row>
    <row r="19" spans="1:20" s="4" customFormat="1" ht="12.75" customHeight="1">
      <c r="A19" s="9" t="s">
        <v>22</v>
      </c>
      <c r="B19" s="4" t="s">
        <v>18</v>
      </c>
      <c r="C19" s="7"/>
      <c r="N19" s="7"/>
      <c r="O19" s="7"/>
      <c r="P19" s="7"/>
      <c r="Q19" s="7"/>
      <c r="R19" s="7"/>
    </row>
    <row r="20" spans="1:20" s="4" customFormat="1" ht="12.75" customHeight="1">
      <c r="A20" s="9" t="s">
        <v>31</v>
      </c>
      <c r="B20" s="32" t="s">
        <v>74</v>
      </c>
      <c r="C20" s="7"/>
      <c r="M20" s="469" t="s">
        <v>273</v>
      </c>
      <c r="N20" s="469"/>
      <c r="O20" s="469"/>
      <c r="P20" s="469"/>
      <c r="Q20" s="469"/>
      <c r="R20" s="469"/>
    </row>
    <row r="21" spans="1:20" s="4" customFormat="1" ht="12.75" customHeight="1">
      <c r="A21" s="9" t="s">
        <v>33</v>
      </c>
      <c r="B21" s="17" t="s">
        <v>67</v>
      </c>
      <c r="C21" s="7"/>
      <c r="N21" s="7"/>
      <c r="O21" s="7"/>
      <c r="P21" s="469" t="s">
        <v>272</v>
      </c>
      <c r="Q21" s="469"/>
      <c r="R21" s="469"/>
    </row>
    <row r="22" spans="1:20" s="4" customFormat="1" ht="12.75" customHeight="1">
      <c r="A22" s="9" t="s">
        <v>34</v>
      </c>
      <c r="B22" s="4" t="s">
        <v>170</v>
      </c>
      <c r="C22" s="7"/>
      <c r="N22" s="7"/>
      <c r="O22" s="7"/>
      <c r="P22" s="7"/>
      <c r="Q22" s="7"/>
      <c r="R22" s="7"/>
    </row>
    <row r="23" spans="1:20" s="4" customFormat="1" ht="12.75" customHeight="1">
      <c r="A23" s="9"/>
      <c r="B23" s="4" t="s">
        <v>78</v>
      </c>
      <c r="C23" s="11"/>
      <c r="T23" s="222"/>
    </row>
    <row r="24" spans="1:20" ht="12.75" customHeight="1">
      <c r="A24" s="10"/>
      <c r="H24" t="s">
        <v>81</v>
      </c>
      <c r="O24" s="24"/>
      <c r="P24" s="463"/>
      <c r="Q24" s="464"/>
      <c r="R24" s="464"/>
      <c r="S24" s="464"/>
      <c r="T24" s="465"/>
    </row>
    <row r="25" spans="1:20" ht="12.75" customHeight="1">
      <c r="A25" s="10"/>
      <c r="H25" t="s">
        <v>82</v>
      </c>
      <c r="O25" s="24"/>
      <c r="P25" s="463"/>
      <c r="Q25" s="464"/>
      <c r="R25" s="464"/>
      <c r="S25" s="464"/>
      <c r="T25" s="465"/>
    </row>
    <row r="26" spans="1:20" ht="12.75" customHeight="1">
      <c r="A26" s="10"/>
      <c r="H26" t="s">
        <v>12</v>
      </c>
      <c r="O26" s="24"/>
      <c r="P26" s="463"/>
      <c r="Q26" s="464"/>
      <c r="R26" s="464"/>
      <c r="S26" s="464"/>
      <c r="T26" s="465"/>
    </row>
    <row r="27" spans="1:20" ht="12.75" customHeight="1">
      <c r="H27" t="s">
        <v>0</v>
      </c>
      <c r="O27" s="24"/>
      <c r="P27" s="463"/>
      <c r="Q27" s="464"/>
      <c r="R27" s="464"/>
      <c r="S27" s="464"/>
      <c r="T27" s="465"/>
    </row>
    <row r="28" spans="1:20" ht="12.75" customHeight="1">
      <c r="O28" s="24"/>
      <c r="P28" s="472"/>
      <c r="Q28" s="464"/>
      <c r="R28" s="464"/>
      <c r="S28" s="464"/>
      <c r="T28" s="465"/>
    </row>
    <row r="29" spans="1:20" ht="12.75" customHeight="1">
      <c r="H29" t="s">
        <v>83</v>
      </c>
      <c r="O29" s="24"/>
      <c r="P29" s="463"/>
      <c r="Q29" s="464"/>
      <c r="R29" s="464"/>
      <c r="S29" s="464"/>
      <c r="T29" s="465"/>
    </row>
    <row r="30" spans="1:20" ht="12.75" customHeight="1">
      <c r="H30" t="s">
        <v>84</v>
      </c>
      <c r="O30" s="24"/>
      <c r="P30" s="463"/>
      <c r="Q30" s="464"/>
      <c r="R30" s="464"/>
      <c r="S30" s="464"/>
      <c r="T30" s="465"/>
    </row>
    <row r="31" spans="1:20" ht="12.75" customHeight="1">
      <c r="H31" t="s">
        <v>85</v>
      </c>
      <c r="O31" s="24"/>
      <c r="P31" s="473"/>
      <c r="Q31" s="474"/>
      <c r="R31" s="474"/>
      <c r="S31" s="474"/>
      <c r="T31" s="475"/>
    </row>
    <row r="32" spans="1:20" ht="12.75" customHeight="1">
      <c r="H32" t="s">
        <v>1</v>
      </c>
      <c r="O32" s="24"/>
      <c r="P32" s="466"/>
      <c r="Q32" s="467"/>
      <c r="R32" s="467"/>
      <c r="S32" s="467"/>
      <c r="T32" s="468"/>
    </row>
    <row r="33" spans="2:20" ht="12.75" customHeight="1">
      <c r="H33" t="s">
        <v>38</v>
      </c>
      <c r="N33" s="25"/>
      <c r="O33" s="24"/>
      <c r="P33" s="463"/>
      <c r="Q33" s="464"/>
      <c r="R33" s="464"/>
      <c r="S33" s="464"/>
      <c r="T33" s="465"/>
    </row>
    <row r="34" spans="2:20" ht="12.75" customHeight="1" thickBot="1">
      <c r="P34" s="52"/>
    </row>
    <row r="35" spans="2:20" ht="15" customHeight="1" thickBot="1">
      <c r="B35" s="363" t="s">
        <v>32</v>
      </c>
      <c r="C35" s="56"/>
      <c r="D35" s="56"/>
      <c r="E35" s="56"/>
      <c r="F35" s="56"/>
      <c r="G35" s="56"/>
      <c r="H35" s="56"/>
      <c r="I35" s="56"/>
      <c r="J35" s="56"/>
      <c r="K35" s="56"/>
      <c r="L35" s="56"/>
      <c r="M35" s="56"/>
      <c r="N35" s="56"/>
      <c r="O35" s="56"/>
      <c r="P35" s="56"/>
      <c r="Q35" s="56"/>
      <c r="R35" s="56"/>
      <c r="S35" s="56"/>
      <c r="T35" s="57"/>
    </row>
    <row r="36" spans="2:20" ht="12.75" customHeight="1"/>
    <row r="37" spans="2:20" ht="12.75" customHeight="1"/>
    <row r="38" spans="2:20" ht="12.75" customHeight="1"/>
    <row r="39" spans="2:20" ht="12.75" customHeight="1"/>
    <row r="40" spans="2:20" ht="12.75" customHeight="1"/>
    <row r="41" spans="2:20" ht="12.75" customHeight="1"/>
    <row r="42" spans="2:20" ht="12.75" customHeight="1"/>
    <row r="43" spans="2:20" ht="12.75" customHeight="1"/>
    <row r="44" spans="2:20" ht="12.75" customHeight="1"/>
    <row r="45" spans="2:20" ht="12.75" customHeight="1"/>
    <row r="46" spans="2:20" ht="12.75" customHeight="1"/>
    <row r="47" spans="2:20" ht="12.75" customHeight="1"/>
    <row r="48" spans="2:20" ht="12.75" customHeight="1"/>
    <row r="49" ht="12.75" customHeight="1"/>
    <row r="50" ht="12.75" customHeight="1"/>
    <row r="51" ht="12.75" customHeight="1"/>
  </sheetData>
  <sheetProtection algorithmName="SHA-512" hashValue="KyBNRbNjq0fsB4EfgUgV2p4CJAD/Bdy7oeUUdhx932U8BSbr5fBfasRqLFMxAKD4NlK2XcwOTibwo/fnCVj2dw==" saltValue="KgVv3EQ78eTqbiRG8fB9uw==" spinCount="100000" sheet="1"/>
  <mergeCells count="14">
    <mergeCell ref="P33:T33"/>
    <mergeCell ref="P24:T24"/>
    <mergeCell ref="P26:T26"/>
    <mergeCell ref="P27:T27"/>
    <mergeCell ref="P28:T28"/>
    <mergeCell ref="P30:T30"/>
    <mergeCell ref="P31:T31"/>
    <mergeCell ref="K4:N4"/>
    <mergeCell ref="P29:T29"/>
    <mergeCell ref="P32:T32"/>
    <mergeCell ref="P25:T25"/>
    <mergeCell ref="M20:R20"/>
    <mergeCell ref="P21:R21"/>
    <mergeCell ref="B7:T7"/>
  </mergeCells>
  <phoneticPr fontId="0" type="noConversion"/>
  <hyperlinks>
    <hyperlink ref="P21" r:id="rId1" display="surveys@mackayresearchgroup.com" xr:uid="{00000000-0004-0000-0000-000000000000}"/>
    <hyperlink ref="B20" r:id="rId2" xr:uid="{00000000-0004-0000-0000-000001000000}"/>
    <hyperlink ref="M20" r:id="rId3" display="john@mackayresearchgroup.com" xr:uid="{00000000-0004-0000-0000-000002000000}"/>
    <hyperlink ref="M20:R20" r:id="rId4" display="tmackay@BenchmarkingAnalytics.com" xr:uid="{00000000-0004-0000-0000-000003000000}"/>
    <hyperlink ref="P21:R21" r:id="rId5" display="surveys@BenchmarkingAnalytics.com" xr:uid="{00000000-0004-0000-0000-000004000000}"/>
  </hyperlinks>
  <pageMargins left="0.5" right="0.5" top="0.5" bottom="0.5" header="0.5" footer="0.5"/>
  <pageSetup scale="93" orientation="portrait" r:id="rId6"/>
  <headerFooter alignWithMargins="0"/>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6"/>
  <sheetViews>
    <sheetView showGridLines="0" showRowColHeaders="0" zoomScale="90" zoomScaleNormal="85" zoomScaleSheetLayoutView="85" workbookViewId="0"/>
  </sheetViews>
  <sheetFormatPr defaultColWidth="0" defaultRowHeight="12.75"/>
  <cols>
    <col min="1" max="1" width="3.5703125" customWidth="1"/>
    <col min="2" max="6" width="10.5703125" customWidth="1"/>
    <col min="7" max="7" width="2.5703125" customWidth="1"/>
    <col min="8" max="8" width="12.5703125" customWidth="1"/>
    <col min="9" max="9" width="2.5703125" customWidth="1"/>
    <col min="10" max="10" width="12.5703125" customWidth="1"/>
    <col min="11" max="11" width="2.5703125" customWidth="1"/>
  </cols>
  <sheetData>
    <row r="1" spans="1:11" ht="18" customHeight="1">
      <c r="A1" s="22"/>
      <c r="B1" s="22"/>
      <c r="C1" s="22"/>
      <c r="D1" s="22"/>
      <c r="E1" s="59" t="s">
        <v>24</v>
      </c>
      <c r="F1" s="22"/>
      <c r="G1" s="22"/>
      <c r="H1" s="22"/>
      <c r="I1" s="22"/>
      <c r="J1" s="22"/>
      <c r="K1" s="22"/>
    </row>
    <row r="2" spans="1:11" ht="18" customHeight="1">
      <c r="A2" s="22"/>
      <c r="B2" s="22"/>
      <c r="C2" s="22"/>
      <c r="D2" s="22"/>
      <c r="E2" s="22"/>
      <c r="F2" s="22"/>
      <c r="G2" s="22"/>
      <c r="H2" s="22"/>
      <c r="I2" s="22"/>
      <c r="J2" s="22"/>
      <c r="K2" s="22"/>
    </row>
    <row r="3" spans="1:11" ht="12.75" customHeight="1">
      <c r="B3" s="4" t="s">
        <v>41</v>
      </c>
    </row>
    <row r="4" spans="1:11" ht="12.75" customHeight="1">
      <c r="B4" t="s">
        <v>274</v>
      </c>
    </row>
    <row r="5" spans="1:11">
      <c r="B5" t="s">
        <v>56</v>
      </c>
    </row>
    <row r="6" spans="1:11">
      <c r="B6" t="s">
        <v>25</v>
      </c>
    </row>
    <row r="8" spans="1:11">
      <c r="B8" s="1" t="s">
        <v>23</v>
      </c>
    </row>
    <row r="10" spans="1:11">
      <c r="A10" s="58" t="s">
        <v>19</v>
      </c>
      <c r="B10" s="4" t="s">
        <v>275</v>
      </c>
    </row>
    <row r="11" spans="1:11">
      <c r="A11" s="58"/>
      <c r="B11" s="4" t="s">
        <v>276</v>
      </c>
    </row>
    <row r="12" spans="1:11">
      <c r="A12" s="58"/>
      <c r="B12" s="4" t="s">
        <v>281</v>
      </c>
    </row>
    <row r="13" spans="1:11">
      <c r="A13" s="58"/>
      <c r="B13" s="4" t="s">
        <v>282</v>
      </c>
    </row>
    <row r="14" spans="1:11">
      <c r="A14" s="58"/>
    </row>
    <row r="15" spans="1:11">
      <c r="A15" s="58" t="s">
        <v>20</v>
      </c>
      <c r="B15" s="4" t="s">
        <v>28</v>
      </c>
    </row>
    <row r="16" spans="1:11">
      <c r="A16" s="58"/>
      <c r="B16" s="4" t="s">
        <v>76</v>
      </c>
    </row>
    <row r="17" spans="1:2">
      <c r="A17" s="58"/>
      <c r="B17" s="4" t="s">
        <v>75</v>
      </c>
    </row>
    <row r="18" spans="1:2">
      <c r="A18" s="58"/>
    </row>
    <row r="19" spans="1:2">
      <c r="A19" s="58" t="s">
        <v>21</v>
      </c>
      <c r="B19" s="4" t="s">
        <v>26</v>
      </c>
    </row>
    <row r="20" spans="1:2">
      <c r="A20" s="58"/>
      <c r="B20" s="4" t="s">
        <v>27</v>
      </c>
    </row>
    <row r="22" spans="1:2">
      <c r="B22" s="4" t="s">
        <v>277</v>
      </c>
    </row>
    <row r="23" spans="1:2">
      <c r="B23" s="4" t="s">
        <v>29</v>
      </c>
    </row>
    <row r="24" spans="1:2">
      <c r="B24" s="4" t="s">
        <v>30</v>
      </c>
    </row>
    <row r="25" spans="1:2">
      <c r="B25" s="4" t="s">
        <v>278</v>
      </c>
    </row>
    <row r="26" spans="1:2">
      <c r="B26" s="4" t="s">
        <v>279</v>
      </c>
    </row>
  </sheetData>
  <sheetProtection password="D8DB" sheet="1" objects="1" scenarios="1" selectLockedCells="1"/>
  <phoneticPr fontId="0" type="noConversion"/>
  <pageMargins left="0.5" right="0.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59"/>
  <sheetViews>
    <sheetView showGridLines="0" showRowColHeaders="0" zoomScaleNormal="100" workbookViewId="0">
      <selection activeCell="R3" sqref="R3"/>
    </sheetView>
  </sheetViews>
  <sheetFormatPr defaultColWidth="0" defaultRowHeight="12.75" zeroHeight="1"/>
  <cols>
    <col min="1" max="1" width="3.5703125" style="12" customWidth="1"/>
    <col min="2" max="15" width="2.5703125" customWidth="1"/>
    <col min="16" max="16" width="15.5703125" customWidth="1"/>
    <col min="17" max="17" width="2.5703125" customWidth="1"/>
    <col min="18" max="18" width="15.5703125" customWidth="1"/>
    <col min="19" max="19" width="2.5703125" customWidth="1"/>
    <col min="20" max="20" width="10.5703125" customWidth="1"/>
    <col min="21" max="21" width="5.5703125" customWidth="1"/>
    <col min="22" max="22" width="18.5703125" hidden="1" customWidth="1"/>
    <col min="23" max="23" width="2.5703125" hidden="1" customWidth="1"/>
    <col min="24" max="24" width="25.5703125" hidden="1" customWidth="1"/>
    <col min="25" max="25" width="9.140625" hidden="1" customWidth="1"/>
    <col min="26" max="26" width="27.5703125" hidden="1" customWidth="1"/>
    <col min="27" max="16384" width="8.85546875" hidden="1"/>
  </cols>
  <sheetData>
    <row r="1" spans="1:26" ht="18" customHeight="1">
      <c r="A1" s="386"/>
      <c r="B1" s="393" t="s">
        <v>148</v>
      </c>
      <c r="C1" s="388"/>
      <c r="D1" s="389"/>
      <c r="E1" s="389"/>
      <c r="F1" s="389"/>
      <c r="G1" s="389"/>
      <c r="H1" s="389"/>
      <c r="I1" s="389"/>
      <c r="J1" s="389"/>
      <c r="K1" s="389"/>
      <c r="L1" s="389"/>
      <c r="M1" s="389"/>
      <c r="N1" s="389"/>
      <c r="O1" s="394" t="s">
        <v>459</v>
      </c>
      <c r="P1" s="391"/>
      <c r="Q1" s="389"/>
      <c r="R1" s="392"/>
      <c r="S1" s="389"/>
      <c r="T1" s="389"/>
      <c r="U1" s="389"/>
    </row>
    <row r="2" spans="1:26" ht="6" customHeight="1">
      <c r="A2" s="9"/>
      <c r="B2" s="4"/>
      <c r="C2" s="384"/>
      <c r="D2" s="4"/>
      <c r="E2" s="4"/>
      <c r="F2" s="4"/>
      <c r="G2" s="4"/>
      <c r="H2" s="4"/>
      <c r="I2" s="4"/>
      <c r="J2" s="4"/>
      <c r="K2" s="4"/>
      <c r="L2" s="4"/>
      <c r="M2" s="4"/>
      <c r="N2" s="4"/>
      <c r="O2" s="347"/>
      <c r="P2" s="347"/>
      <c r="R2" s="378"/>
      <c r="S2" s="148"/>
      <c r="T2" s="196"/>
      <c r="Y2" s="4">
        <v>0</v>
      </c>
      <c r="Z2" s="4" t="s">
        <v>72</v>
      </c>
    </row>
    <row r="3" spans="1:26" ht="13.15" customHeight="1">
      <c r="A3" s="21" t="s">
        <v>19</v>
      </c>
      <c r="B3" s="4" t="s">
        <v>460</v>
      </c>
      <c r="C3" s="153"/>
      <c r="O3" s="154"/>
      <c r="P3" s="154"/>
      <c r="R3" s="379"/>
      <c r="S3" s="148"/>
      <c r="T3" s="196" t="s">
        <v>464</v>
      </c>
      <c r="Y3" s="4"/>
      <c r="Z3" s="4"/>
    </row>
    <row r="4" spans="1:26" ht="13.15" customHeight="1">
      <c r="A4" s="21"/>
      <c r="B4" s="4" t="s">
        <v>461</v>
      </c>
      <c r="C4" s="153"/>
      <c r="O4" s="154"/>
      <c r="P4" s="154"/>
      <c r="R4" s="378"/>
      <c r="S4" s="148"/>
      <c r="T4" s="196"/>
      <c r="Y4" s="4"/>
      <c r="Z4" s="4"/>
    </row>
    <row r="5" spans="1:26" ht="13.15" customHeight="1">
      <c r="A5" s="21"/>
      <c r="B5" s="4" t="s">
        <v>462</v>
      </c>
      <c r="C5" s="153"/>
      <c r="O5" s="154"/>
      <c r="P5" s="154"/>
      <c r="R5" s="378"/>
      <c r="S5" s="148"/>
      <c r="T5" s="196"/>
      <c r="Y5" s="4"/>
      <c r="Z5" s="4"/>
    </row>
    <row r="6" spans="1:26" ht="13.15" customHeight="1">
      <c r="A6" s="21"/>
      <c r="B6" s="4" t="s">
        <v>463</v>
      </c>
      <c r="C6" s="153"/>
      <c r="O6" s="154"/>
      <c r="P6" s="154"/>
      <c r="R6" s="378"/>
      <c r="S6" s="148"/>
      <c r="T6" s="196"/>
      <c r="Y6" s="4"/>
      <c r="Z6" s="4"/>
    </row>
    <row r="7" spans="1:26" ht="6" customHeight="1">
      <c r="A7" s="21"/>
      <c r="B7" s="4"/>
      <c r="C7" s="153"/>
      <c r="O7" s="154"/>
      <c r="P7" s="154"/>
      <c r="R7" s="378"/>
      <c r="S7" s="148"/>
      <c r="T7" s="196"/>
      <c r="Y7" s="4"/>
      <c r="Z7" s="4"/>
    </row>
    <row r="8" spans="1:26" ht="13.15" customHeight="1">
      <c r="A8" s="21" t="s">
        <v>20</v>
      </c>
      <c r="B8" s="1" t="s">
        <v>217</v>
      </c>
      <c r="K8" s="60"/>
      <c r="L8" s="4" t="s">
        <v>465</v>
      </c>
      <c r="S8" s="148"/>
      <c r="T8" s="196"/>
      <c r="Y8" s="4"/>
      <c r="Z8" s="4"/>
    </row>
    <row r="9" spans="1:26" ht="13.15" customHeight="1">
      <c r="B9" s="60" t="s">
        <v>466</v>
      </c>
      <c r="S9" s="148"/>
      <c r="T9" s="196"/>
      <c r="Y9" s="4"/>
      <c r="Z9" s="4"/>
    </row>
    <row r="10" spans="1:26" ht="13.15" customHeight="1">
      <c r="B10" s="157" t="s">
        <v>467</v>
      </c>
      <c r="C10" s="155"/>
      <c r="I10" s="203"/>
      <c r="J10" s="203"/>
      <c r="K10" s="203"/>
      <c r="L10" s="203"/>
      <c r="M10" s="203"/>
      <c r="N10" s="203"/>
      <c r="O10" s="203"/>
      <c r="P10" s="203"/>
      <c r="Q10" s="216"/>
      <c r="R10" s="199"/>
      <c r="S10" s="148"/>
      <c r="T10" s="18"/>
      <c r="Y10" s="4"/>
      <c r="Z10" s="4"/>
    </row>
    <row r="11" spans="1:26" ht="13.15" hidden="1" customHeight="1">
      <c r="B11" s="157" t="s">
        <v>468</v>
      </c>
      <c r="C11" s="155"/>
      <c r="F11" s="4"/>
      <c r="P11" s="208"/>
      <c r="Q11" s="217"/>
      <c r="R11" s="199"/>
      <c r="S11" s="148"/>
      <c r="T11" s="335"/>
      <c r="Y11" s="4"/>
      <c r="Z11" s="4"/>
    </row>
    <row r="12" spans="1:26" ht="13.15" customHeight="1">
      <c r="B12" s="4" t="s">
        <v>473</v>
      </c>
      <c r="I12" s="4" t="s">
        <v>469</v>
      </c>
      <c r="L12" s="208"/>
      <c r="M12" s="208"/>
      <c r="N12" s="208"/>
      <c r="O12" s="208"/>
      <c r="P12" s="208"/>
      <c r="Q12" s="217"/>
      <c r="R12" s="380"/>
      <c r="S12" s="148"/>
      <c r="T12" s="335"/>
      <c r="Y12" s="4"/>
      <c r="Z12" s="4"/>
    </row>
    <row r="13" spans="1:26" ht="13.15" customHeight="1">
      <c r="B13" s="4" t="s">
        <v>470</v>
      </c>
      <c r="J13" s="203"/>
      <c r="K13" s="203"/>
      <c r="L13" s="203"/>
      <c r="M13" s="203"/>
      <c r="N13" s="203"/>
      <c r="O13" s="203"/>
      <c r="P13" s="203"/>
      <c r="Q13" s="216"/>
      <c r="R13" s="199"/>
      <c r="S13" s="148"/>
      <c r="T13" s="335"/>
      <c r="Y13" s="4"/>
      <c r="Z13" s="4"/>
    </row>
    <row r="14" spans="1:26" ht="13.15" customHeight="1">
      <c r="B14" s="4" t="s">
        <v>471</v>
      </c>
      <c r="C14" s="155"/>
      <c r="G14" s="219"/>
      <c r="H14" s="219"/>
      <c r="I14" s="219"/>
      <c r="J14" s="203"/>
      <c r="K14" s="208"/>
      <c r="L14" s="208"/>
      <c r="M14" s="208"/>
      <c r="N14" s="208"/>
      <c r="O14" s="208"/>
      <c r="P14" s="208"/>
      <c r="Q14" s="217"/>
      <c r="R14" s="199"/>
      <c r="S14" s="148"/>
      <c r="T14" s="335"/>
      <c r="Y14" s="4"/>
      <c r="Z14" s="4"/>
    </row>
    <row r="15" spans="1:26" ht="13.15" customHeight="1">
      <c r="B15" s="4" t="s">
        <v>218</v>
      </c>
      <c r="C15" s="155"/>
      <c r="I15" s="203"/>
      <c r="J15" s="208"/>
      <c r="K15" s="208"/>
      <c r="L15" s="208"/>
      <c r="M15" s="208"/>
      <c r="N15" s="208"/>
      <c r="O15" s="208"/>
      <c r="P15" s="208"/>
      <c r="Q15" s="217"/>
      <c r="R15" s="199"/>
      <c r="S15" s="148"/>
      <c r="T15" s="196"/>
      <c r="Y15" s="4"/>
      <c r="Z15" s="4"/>
    </row>
    <row r="16" spans="1:26" ht="13.15" customHeight="1">
      <c r="B16" s="4" t="s">
        <v>692</v>
      </c>
      <c r="C16" s="158"/>
      <c r="D16" s="40"/>
      <c r="E16" s="40"/>
      <c r="F16" s="40"/>
      <c r="G16" s="4"/>
      <c r="H16" s="40"/>
      <c r="I16" s="40"/>
      <c r="J16" s="40"/>
      <c r="K16" s="40"/>
      <c r="L16" s="40"/>
      <c r="M16" s="364"/>
      <c r="N16" s="206"/>
      <c r="O16" s="206"/>
      <c r="P16" s="206"/>
      <c r="Q16" s="365"/>
      <c r="R16" s="199"/>
      <c r="S16" s="148"/>
      <c r="T16" s="196"/>
      <c r="Y16" s="4"/>
      <c r="Z16" s="4"/>
    </row>
    <row r="17" spans="1:26" ht="13.15" customHeight="1">
      <c r="B17" s="4" t="s">
        <v>693</v>
      </c>
      <c r="C17" s="158"/>
      <c r="D17" s="40"/>
      <c r="E17" s="40"/>
      <c r="F17" s="40"/>
      <c r="G17" s="4"/>
      <c r="H17" s="40"/>
      <c r="I17" s="40"/>
      <c r="J17" s="40"/>
      <c r="K17" s="40"/>
      <c r="L17" s="40"/>
      <c r="M17" s="40"/>
      <c r="N17" s="4"/>
      <c r="O17" s="205"/>
      <c r="P17" s="205"/>
      <c r="Q17" s="440"/>
      <c r="R17" s="199"/>
      <c r="S17" s="148"/>
      <c r="T17" s="196"/>
      <c r="Y17" s="4"/>
      <c r="Z17" s="4"/>
    </row>
    <row r="18" spans="1:26" ht="13.15" customHeight="1">
      <c r="B18" s="4" t="s">
        <v>694</v>
      </c>
      <c r="C18" s="158"/>
      <c r="D18" s="40"/>
      <c r="E18" s="40"/>
      <c r="F18" s="40"/>
      <c r="G18" s="4"/>
      <c r="H18" s="40"/>
      <c r="I18" s="40"/>
      <c r="J18" s="40"/>
      <c r="K18" s="40"/>
      <c r="L18" s="40"/>
      <c r="M18" s="40"/>
      <c r="N18" s="4"/>
      <c r="O18" s="205"/>
      <c r="P18" s="205"/>
      <c r="Q18" s="440"/>
      <c r="R18" s="199"/>
      <c r="S18" s="148"/>
      <c r="T18" s="196"/>
      <c r="Y18" s="4"/>
      <c r="Z18" s="4"/>
    </row>
    <row r="19" spans="1:26" ht="13.15" customHeight="1">
      <c r="B19" s="4" t="s">
        <v>696</v>
      </c>
      <c r="C19" s="158"/>
      <c r="D19" s="40"/>
      <c r="E19" s="40"/>
      <c r="F19" s="40"/>
      <c r="G19" s="4"/>
      <c r="H19" s="40"/>
      <c r="I19" s="40"/>
      <c r="J19" s="40"/>
      <c r="K19" s="40"/>
      <c r="L19" s="40"/>
      <c r="M19" s="40"/>
      <c r="N19" s="4"/>
      <c r="O19" s="205"/>
      <c r="P19" s="205"/>
      <c r="Q19" s="440"/>
      <c r="R19" s="199"/>
      <c r="S19" s="148"/>
      <c r="T19" s="196"/>
      <c r="Y19" s="4"/>
      <c r="Z19" s="4"/>
    </row>
    <row r="20" spans="1:26" ht="13.15" customHeight="1">
      <c r="B20" s="4" t="s">
        <v>695</v>
      </c>
      <c r="C20" s="158"/>
      <c r="D20" s="40"/>
      <c r="E20" s="40"/>
      <c r="F20" s="40"/>
      <c r="G20" s="4"/>
      <c r="H20" s="40"/>
      <c r="I20" s="40"/>
      <c r="J20" s="40"/>
      <c r="K20" s="40"/>
      <c r="L20" s="40"/>
      <c r="M20" s="40"/>
      <c r="N20" s="4"/>
      <c r="O20" s="205"/>
      <c r="P20" s="205"/>
      <c r="Q20" s="440"/>
      <c r="R20" s="199"/>
      <c r="S20" s="148"/>
      <c r="T20" s="196"/>
      <c r="Y20" s="4"/>
      <c r="Z20" s="4"/>
    </row>
    <row r="21" spans="1:26" ht="13.15" customHeight="1">
      <c r="B21" s="4" t="s">
        <v>697</v>
      </c>
      <c r="C21" s="158"/>
      <c r="D21" s="40"/>
      <c r="E21" s="40"/>
      <c r="F21" s="40"/>
      <c r="G21" s="4"/>
      <c r="H21" s="40"/>
      <c r="I21" s="40"/>
      <c r="J21" s="40"/>
      <c r="K21" s="40"/>
      <c r="L21" s="40"/>
      <c r="M21" s="40"/>
      <c r="N21" s="4"/>
      <c r="O21" s="205"/>
      <c r="P21" s="205"/>
      <c r="Q21" s="440"/>
      <c r="R21" s="199"/>
      <c r="S21" s="148"/>
      <c r="T21" s="196"/>
      <c r="Y21" s="4"/>
      <c r="Z21" s="4"/>
    </row>
    <row r="22" spans="1:26" ht="13.15" customHeight="1">
      <c r="B22" s="157" t="s">
        <v>472</v>
      </c>
      <c r="C22" s="155"/>
      <c r="F22" s="60"/>
      <c r="L22" s="4" t="s">
        <v>469</v>
      </c>
      <c r="O22" s="203"/>
      <c r="P22" s="203"/>
      <c r="Q22" s="216"/>
      <c r="R22" s="199"/>
      <c r="S22" s="148"/>
      <c r="T22" s="196"/>
      <c r="Y22" s="4"/>
      <c r="Z22" s="4"/>
    </row>
    <row r="23" spans="1:26" ht="13.15" customHeight="1">
      <c r="B23" s="4"/>
      <c r="C23" s="1" t="s">
        <v>219</v>
      </c>
      <c r="R23" s="185">
        <f>SUM(R10:R22)</f>
        <v>0</v>
      </c>
      <c r="S23" s="148"/>
      <c r="T23" s="196"/>
      <c r="Y23" s="4"/>
      <c r="Z23" s="4"/>
    </row>
    <row r="24" spans="1:26" ht="6" customHeight="1">
      <c r="S24" s="148"/>
      <c r="T24" s="196"/>
      <c r="Y24" s="4"/>
      <c r="Z24" s="4"/>
    </row>
    <row r="25" spans="1:26" ht="13.15" customHeight="1">
      <c r="A25" s="147" t="s">
        <v>21</v>
      </c>
      <c r="B25" s="366" t="s">
        <v>475</v>
      </c>
      <c r="C25" s="17"/>
      <c r="M25" s="4" t="s">
        <v>476</v>
      </c>
      <c r="O25" s="154"/>
      <c r="P25" s="17"/>
      <c r="Q25" s="203"/>
      <c r="R25" s="367"/>
      <c r="S25" s="4" t="s">
        <v>149</v>
      </c>
      <c r="Y25" s="4"/>
      <c r="Z25" s="4"/>
    </row>
    <row r="26" spans="1:26" ht="6" customHeight="1">
      <c r="B26" s="154"/>
      <c r="C26" s="17"/>
      <c r="O26" s="154"/>
      <c r="P26" s="17"/>
      <c r="R26" s="159"/>
      <c r="Y26" s="4"/>
      <c r="Z26" s="4"/>
    </row>
    <row r="27" spans="1:26" ht="13.15" customHeight="1">
      <c r="A27" s="147" t="s">
        <v>22</v>
      </c>
      <c r="B27" s="368" t="s">
        <v>478</v>
      </c>
      <c r="C27" s="369"/>
      <c r="M27" s="4" t="s">
        <v>477</v>
      </c>
      <c r="O27" s="154"/>
      <c r="P27" s="218"/>
      <c r="Q27" s="203"/>
      <c r="R27" s="367"/>
      <c r="S27" s="4" t="s">
        <v>474</v>
      </c>
      <c r="Y27" s="4"/>
      <c r="Z27" s="4"/>
    </row>
    <row r="28" spans="1:26" ht="13.15" customHeight="1">
      <c r="A28" s="147" t="s">
        <v>703</v>
      </c>
      <c r="B28" s="368" t="s">
        <v>704</v>
      </c>
      <c r="C28" s="369"/>
      <c r="M28" s="4"/>
      <c r="O28" s="154"/>
      <c r="P28" s="17"/>
      <c r="R28" s="367"/>
      <c r="S28" s="4" t="s">
        <v>474</v>
      </c>
      <c r="Y28" s="4"/>
      <c r="Z28" s="4"/>
    </row>
    <row r="29" spans="1:26" ht="6" customHeight="1">
      <c r="S29" s="148"/>
      <c r="T29" s="196"/>
      <c r="Y29" s="4"/>
      <c r="Z29" s="4"/>
    </row>
    <row r="30" spans="1:26" ht="13.15" customHeight="1">
      <c r="A30" s="21" t="s">
        <v>31</v>
      </c>
      <c r="B30" s="157" t="s">
        <v>259</v>
      </c>
      <c r="F30" s="60"/>
      <c r="P30" s="203"/>
      <c r="Q30" s="371"/>
      <c r="R30" s="183"/>
      <c r="S30" s="148"/>
      <c r="T30" s="196"/>
      <c r="Y30" s="4"/>
      <c r="Z30" s="4"/>
    </row>
    <row r="31" spans="1:26" ht="6" customHeight="1">
      <c r="A31" s="21"/>
      <c r="B31" s="157"/>
      <c r="F31" s="60"/>
      <c r="O31" s="219"/>
      <c r="P31" s="219"/>
      <c r="Q31" s="372"/>
      <c r="R31" s="381"/>
      <c r="S31" s="148"/>
      <c r="T31" s="196"/>
      <c r="Y31" s="4"/>
      <c r="Z31" s="4"/>
    </row>
    <row r="32" spans="1:26" ht="13.15" customHeight="1">
      <c r="A32" s="21" t="s">
        <v>33</v>
      </c>
      <c r="B32" s="158" t="s">
        <v>479</v>
      </c>
      <c r="P32" s="203"/>
      <c r="Q32" s="216"/>
      <c r="R32" s="183"/>
      <c r="S32" s="148"/>
      <c r="T32" s="196"/>
      <c r="Y32" s="4"/>
      <c r="Z32" s="4"/>
    </row>
    <row r="33" spans="1:26" ht="6" customHeight="1">
      <c r="A33" s="21"/>
      <c r="B33" s="158"/>
      <c r="P33" s="219"/>
      <c r="Q33" s="219"/>
      <c r="R33" s="381"/>
      <c r="S33" s="148"/>
      <c r="T33" s="196"/>
      <c r="Y33" s="4"/>
      <c r="Z33" s="4"/>
    </row>
    <row r="34" spans="1:26" ht="13.15" customHeight="1">
      <c r="A34" s="21" t="s">
        <v>34</v>
      </c>
      <c r="B34" s="4" t="s">
        <v>258</v>
      </c>
      <c r="L34" s="203"/>
      <c r="M34" s="203"/>
      <c r="N34" s="203"/>
      <c r="O34" s="203"/>
      <c r="P34" s="203"/>
      <c r="Q34" s="216"/>
      <c r="R34" s="380"/>
      <c r="S34" s="148"/>
      <c r="T34" s="196"/>
      <c r="Y34" s="4"/>
      <c r="Z34" s="4"/>
    </row>
    <row r="35" spans="1:26" ht="6" customHeight="1">
      <c r="A35" s="21"/>
      <c r="B35" s="4"/>
      <c r="C35" s="153"/>
      <c r="O35" s="154"/>
      <c r="P35" s="154"/>
      <c r="R35" s="378"/>
      <c r="S35" s="148"/>
      <c r="T35" s="196"/>
      <c r="Y35" s="4"/>
      <c r="Z35" s="4"/>
    </row>
    <row r="36" spans="1:26" ht="13.15" customHeight="1">
      <c r="A36" s="21" t="s">
        <v>35</v>
      </c>
      <c r="B36" s="60" t="s">
        <v>480</v>
      </c>
      <c r="C36" s="153"/>
      <c r="O36" s="154"/>
      <c r="P36" s="154"/>
      <c r="R36" s="380"/>
      <c r="S36" s="215" t="s">
        <v>3</v>
      </c>
      <c r="T36" s="196"/>
      <c r="Y36" s="4"/>
      <c r="Z36" s="4"/>
    </row>
    <row r="37" spans="1:26" ht="6" customHeight="1">
      <c r="A37" s="21"/>
      <c r="B37" s="4"/>
      <c r="C37" s="153"/>
      <c r="O37" s="154"/>
      <c r="P37" s="154"/>
      <c r="R37" s="378"/>
      <c r="S37" s="148"/>
      <c r="T37" s="196"/>
      <c r="Y37" s="4"/>
      <c r="Z37" s="4"/>
    </row>
    <row r="38" spans="1:26" ht="13.15" customHeight="1">
      <c r="A38" s="21" t="s">
        <v>53</v>
      </c>
      <c r="B38" s="4" t="s">
        <v>481</v>
      </c>
      <c r="C38" s="153"/>
      <c r="O38" s="154"/>
      <c r="P38" s="154"/>
      <c r="R38" s="379"/>
      <c r="S38" s="373" t="s">
        <v>256</v>
      </c>
      <c r="T38" s="196"/>
      <c r="Y38" s="4"/>
      <c r="Z38" s="4"/>
    </row>
    <row r="39" spans="1:26" ht="6" customHeight="1">
      <c r="A39" s="21"/>
      <c r="B39" s="4"/>
      <c r="C39" s="153"/>
      <c r="O39" s="154"/>
      <c r="P39" s="154"/>
      <c r="R39" s="378"/>
      <c r="S39" s="148"/>
      <c r="T39" s="196"/>
      <c r="Y39" s="4"/>
      <c r="Z39" s="4"/>
    </row>
    <row r="40" spans="1:26" ht="12.95" customHeight="1">
      <c r="A40" s="21" t="s">
        <v>150</v>
      </c>
      <c r="B40" s="4" t="s">
        <v>483</v>
      </c>
      <c r="C40" s="153"/>
      <c r="O40" s="154"/>
      <c r="P40" s="154"/>
      <c r="R40" s="379"/>
      <c r="S40" s="4" t="s">
        <v>482</v>
      </c>
      <c r="T40" s="196"/>
      <c r="Y40" s="4"/>
      <c r="Z40" s="4"/>
    </row>
    <row r="41" spans="1:26" ht="6" customHeight="1">
      <c r="A41" s="21"/>
      <c r="B41" s="4"/>
      <c r="C41" s="153"/>
      <c r="O41" s="154"/>
      <c r="P41" s="154"/>
      <c r="R41" s="378"/>
      <c r="S41" s="148"/>
      <c r="T41" s="196"/>
      <c r="Y41" s="4"/>
      <c r="Z41" s="4"/>
    </row>
    <row r="42" spans="1:26" ht="12.95" customHeight="1">
      <c r="A42" s="21" t="s">
        <v>151</v>
      </c>
      <c r="B42" s="4" t="s">
        <v>484</v>
      </c>
      <c r="C42" s="153"/>
      <c r="O42" s="154"/>
      <c r="P42" s="218"/>
      <c r="Q42" s="216"/>
      <c r="R42" s="183"/>
      <c r="S42" s="148"/>
      <c r="T42" s="196"/>
      <c r="Y42" s="4"/>
      <c r="Z42" s="4"/>
    </row>
    <row r="43" spans="1:26" ht="6" customHeight="1">
      <c r="A43" s="21"/>
      <c r="B43" s="4"/>
      <c r="C43" s="153"/>
      <c r="O43" s="154"/>
      <c r="P43" s="154"/>
      <c r="R43" s="378"/>
      <c r="S43" s="148"/>
      <c r="T43" s="196"/>
      <c r="Y43" s="4"/>
      <c r="Z43" s="4"/>
    </row>
    <row r="44" spans="1:26" ht="12.95" customHeight="1">
      <c r="A44" s="21" t="s">
        <v>152</v>
      </c>
      <c r="B44" s="4" t="s">
        <v>269</v>
      </c>
      <c r="R44" s="380"/>
      <c r="S44" s="215" t="s">
        <v>3</v>
      </c>
      <c r="T44" s="196"/>
      <c r="Y44" s="4"/>
      <c r="Z44" s="4"/>
    </row>
    <row r="45" spans="1:26" ht="6" customHeight="1">
      <c r="A45" s="21"/>
      <c r="B45" s="4"/>
      <c r="C45" s="153"/>
      <c r="O45" s="154"/>
      <c r="P45" s="154"/>
      <c r="R45" s="378"/>
      <c r="S45" s="148"/>
      <c r="T45" s="196"/>
      <c r="Y45" s="4"/>
      <c r="Z45" s="4"/>
    </row>
    <row r="46" spans="1:26" ht="12.95" customHeight="1">
      <c r="A46" s="21" t="s">
        <v>158</v>
      </c>
      <c r="B46" s="1" t="s">
        <v>485</v>
      </c>
      <c r="C46" s="153"/>
      <c r="O46" s="154"/>
      <c r="P46" s="154"/>
      <c r="R46" s="378"/>
      <c r="S46" s="148"/>
      <c r="T46" s="196"/>
      <c r="Y46" s="4"/>
      <c r="Z46" s="4"/>
    </row>
    <row r="47" spans="1:26" ht="12.95" customHeight="1">
      <c r="A47" s="21"/>
      <c r="B47" s="4" t="s">
        <v>486</v>
      </c>
      <c r="C47" s="153"/>
      <c r="G47" s="203"/>
      <c r="H47" s="203"/>
      <c r="I47" s="203"/>
      <c r="J47" s="203"/>
      <c r="K47" s="203"/>
      <c r="L47" s="203"/>
      <c r="M47" s="203"/>
      <c r="N47" s="203"/>
      <c r="O47" s="370"/>
      <c r="P47" s="370"/>
      <c r="Q47" s="203"/>
      <c r="R47" s="374"/>
      <c r="S47" s="215" t="s">
        <v>3</v>
      </c>
      <c r="T47" s="196"/>
      <c r="Y47" s="4"/>
      <c r="Z47" s="4"/>
    </row>
    <row r="48" spans="1:26" ht="12.95" customHeight="1">
      <c r="A48" s="21"/>
      <c r="B48" s="4" t="s">
        <v>487</v>
      </c>
      <c r="C48" s="153"/>
      <c r="G48" s="208"/>
      <c r="H48" s="208"/>
      <c r="I48" s="208"/>
      <c r="J48" s="208"/>
      <c r="K48" s="208"/>
      <c r="L48" s="208"/>
      <c r="M48" s="208"/>
      <c r="N48" s="208"/>
      <c r="O48" s="376"/>
      <c r="P48" s="376"/>
      <c r="Q48" s="208"/>
      <c r="R48" s="375">
        <f>100-FairTrade</f>
        <v>100</v>
      </c>
      <c r="S48" s="148"/>
      <c r="T48" s="196"/>
      <c r="Y48" s="4"/>
      <c r="Z48" s="4"/>
    </row>
    <row r="49" spans="1:26" ht="12.95" customHeight="1">
      <c r="A49" s="21"/>
      <c r="B49" s="4"/>
      <c r="C49" s="4" t="s">
        <v>265</v>
      </c>
      <c r="I49" s="60"/>
      <c r="R49" s="382">
        <v>1</v>
      </c>
      <c r="Y49" s="4"/>
      <c r="Z49" s="4"/>
    </row>
    <row r="50" spans="1:26" ht="6" customHeight="1">
      <c r="A50" s="21"/>
      <c r="B50" s="4"/>
      <c r="C50" s="153"/>
      <c r="O50" s="154"/>
      <c r="P50" s="154"/>
      <c r="R50" s="378"/>
      <c r="S50" s="148"/>
      <c r="T50" s="196"/>
      <c r="Y50" s="4"/>
      <c r="Z50" s="4"/>
    </row>
    <row r="51" spans="1:26" ht="12.95" customHeight="1">
      <c r="A51" s="21" t="s">
        <v>159</v>
      </c>
      <c r="B51" s="4" t="s">
        <v>488</v>
      </c>
      <c r="C51" s="153"/>
      <c r="O51" s="154"/>
      <c r="P51" s="154"/>
      <c r="R51" s="377"/>
      <c r="S51" s="148"/>
      <c r="T51" s="196"/>
      <c r="Y51" s="4"/>
      <c r="Z51" s="4"/>
    </row>
    <row r="52" spans="1:26" ht="6" customHeight="1">
      <c r="A52" s="21"/>
      <c r="B52" s="4"/>
      <c r="C52" s="153"/>
      <c r="O52" s="154"/>
      <c r="P52" s="154"/>
      <c r="R52" s="378"/>
      <c r="S52" s="148"/>
      <c r="T52" s="196"/>
      <c r="Y52" s="4"/>
      <c r="Z52" s="4"/>
    </row>
    <row r="53" spans="1:26" ht="12.95" customHeight="1">
      <c r="A53" s="21" t="s">
        <v>340</v>
      </c>
      <c r="B53" s="1" t="s">
        <v>403</v>
      </c>
      <c r="P53" s="187" t="s">
        <v>489</v>
      </c>
      <c r="R53" s="148"/>
      <c r="T53" s="187" t="s">
        <v>10</v>
      </c>
      <c r="Y53" s="4"/>
      <c r="Z53" s="4"/>
    </row>
    <row r="54" spans="1:26" ht="12.95" customHeight="1">
      <c r="A54" s="21"/>
      <c r="B54" s="1"/>
      <c r="P54" s="187" t="s">
        <v>490</v>
      </c>
      <c r="R54" s="187" t="s">
        <v>491</v>
      </c>
      <c r="T54" s="187" t="s">
        <v>492</v>
      </c>
      <c r="Y54" s="4"/>
      <c r="Z54" s="4"/>
    </row>
    <row r="55" spans="1:26" ht="12.95" customHeight="1">
      <c r="A55" s="21"/>
      <c r="B55" s="4" t="s">
        <v>493</v>
      </c>
      <c r="P55" s="383"/>
      <c r="Q55" s="51" t="s">
        <v>4</v>
      </c>
      <c r="R55" s="383"/>
      <c r="T55" s="421"/>
      <c r="Y55" s="4"/>
      <c r="Z55" s="4"/>
    </row>
    <row r="56" spans="1:26" ht="12.95" customHeight="1">
      <c r="A56" s="21"/>
      <c r="B56" s="4" t="s">
        <v>494</v>
      </c>
      <c r="P56" s="383"/>
      <c r="R56" s="383"/>
      <c r="T56" s="421"/>
      <c r="Y56" s="4"/>
      <c r="Z56" s="4"/>
    </row>
    <row r="57" spans="1:26" ht="12.95" customHeight="1">
      <c r="A57" s="21"/>
      <c r="B57" s="4" t="s">
        <v>495</v>
      </c>
      <c r="P57" s="383"/>
      <c r="R57" s="383"/>
      <c r="T57" s="421"/>
      <c r="Y57" s="4"/>
      <c r="Z57" s="4"/>
    </row>
    <row r="58" spans="1:26" ht="12.95" customHeight="1">
      <c r="A58" s="21"/>
      <c r="B58" s="4" t="s">
        <v>711</v>
      </c>
      <c r="L58" s="60"/>
      <c r="P58" s="383"/>
      <c r="R58" s="383"/>
      <c r="T58" s="421"/>
      <c r="Y58" s="4"/>
      <c r="Z58" s="4"/>
    </row>
    <row r="59" spans="1:26" ht="12.95" customHeight="1">
      <c r="A59" s="21"/>
      <c r="B59" s="4" t="s">
        <v>712</v>
      </c>
      <c r="I59" s="33"/>
      <c r="P59" s="383"/>
      <c r="R59" s="383"/>
      <c r="T59" s="421"/>
      <c r="Y59" s="4"/>
      <c r="Z59" s="4"/>
    </row>
    <row r="60" spans="1:26" ht="12.95" customHeight="1">
      <c r="A60" s="21"/>
      <c r="B60" s="4" t="s">
        <v>713</v>
      </c>
      <c r="I60" s="33"/>
      <c r="P60" s="383"/>
      <c r="R60" s="383"/>
      <c r="T60" s="421"/>
      <c r="Y60" s="4"/>
      <c r="Z60" s="4"/>
    </row>
    <row r="61" spans="1:26" ht="12.95" customHeight="1">
      <c r="A61" s="21"/>
      <c r="B61" s="4" t="s">
        <v>497</v>
      </c>
      <c r="P61" s="383"/>
      <c r="R61" s="383"/>
      <c r="T61" s="421"/>
      <c r="Y61" s="4"/>
      <c r="Z61" s="4"/>
    </row>
    <row r="62" spans="1:26" ht="12.95" customHeight="1">
      <c r="A62" s="21"/>
      <c r="B62" s="4" t="s">
        <v>498</v>
      </c>
      <c r="J62" s="60"/>
      <c r="P62" s="383"/>
      <c r="R62" s="383"/>
      <c r="T62" s="421"/>
      <c r="Y62" s="4"/>
      <c r="Z62" s="4"/>
    </row>
    <row r="63" spans="1:26" ht="12.95" customHeight="1">
      <c r="A63" s="21"/>
      <c r="B63" s="4" t="s">
        <v>499</v>
      </c>
      <c r="C63" s="158"/>
      <c r="J63" s="60"/>
      <c r="P63" s="383"/>
      <c r="R63" s="383"/>
      <c r="T63" s="421"/>
      <c r="Y63" s="4"/>
      <c r="Z63" s="4"/>
    </row>
    <row r="64" spans="1:26" ht="12.95" customHeight="1">
      <c r="A64" s="21"/>
      <c r="B64" s="4" t="s">
        <v>708</v>
      </c>
      <c r="I64" s="33"/>
      <c r="P64" s="383"/>
      <c r="R64" s="383"/>
      <c r="T64" s="421"/>
      <c r="Y64" s="4"/>
      <c r="Z64" s="4"/>
    </row>
    <row r="65" spans="1:26" ht="12.95" customHeight="1">
      <c r="A65" s="21"/>
      <c r="B65" s="4" t="s">
        <v>709</v>
      </c>
      <c r="I65" s="33"/>
      <c r="P65" s="383"/>
      <c r="R65" s="383"/>
      <c r="T65" s="421"/>
      <c r="Y65" s="4"/>
      <c r="Z65" s="4"/>
    </row>
    <row r="66" spans="1:26" ht="12.95" customHeight="1">
      <c r="A66" s="21"/>
      <c r="B66" s="4" t="s">
        <v>503</v>
      </c>
      <c r="I66" s="33"/>
      <c r="P66" s="383"/>
      <c r="R66" s="383"/>
      <c r="T66" s="421"/>
      <c r="Y66" s="4"/>
      <c r="Z66" s="4"/>
    </row>
    <row r="67" spans="1:26" ht="12.95" customHeight="1">
      <c r="A67" s="21"/>
      <c r="B67" s="158" t="s">
        <v>710</v>
      </c>
      <c r="I67" s="60"/>
      <c r="P67" s="383"/>
      <c r="R67" s="383"/>
      <c r="T67" s="421"/>
      <c r="Y67" s="4"/>
      <c r="Z67" s="4"/>
    </row>
    <row r="68" spans="1:26" ht="12.95" customHeight="1">
      <c r="A68" s="21"/>
      <c r="B68" s="158"/>
      <c r="C68" s="4" t="s">
        <v>504</v>
      </c>
      <c r="I68" s="60"/>
      <c r="P68" s="2">
        <f>SUM(P55:P67)</f>
        <v>0</v>
      </c>
      <c r="R68" s="132">
        <f>SUM(R55:R67)</f>
        <v>0</v>
      </c>
      <c r="T68" s="422"/>
      <c r="Y68" s="4"/>
      <c r="Z68" s="4"/>
    </row>
    <row r="69" spans="1:26" ht="12.95" customHeight="1">
      <c r="A69" s="21"/>
      <c r="B69" s="4"/>
      <c r="C69" s="153"/>
      <c r="O69" s="154"/>
      <c r="P69" s="154"/>
      <c r="R69" s="378"/>
      <c r="S69" s="148"/>
      <c r="T69" s="196"/>
      <c r="Y69" s="4"/>
      <c r="Z69" s="4"/>
    </row>
    <row r="70" spans="1:26" ht="12.95" customHeight="1">
      <c r="A70" s="21" t="s">
        <v>341</v>
      </c>
      <c r="B70" s="4" t="s">
        <v>505</v>
      </c>
      <c r="C70" s="153"/>
      <c r="O70" s="154"/>
      <c r="P70" s="154"/>
      <c r="R70" s="379"/>
      <c r="S70" s="373" t="s">
        <v>256</v>
      </c>
      <c r="T70" s="196"/>
      <c r="Y70" s="4"/>
      <c r="Z70" s="4"/>
    </row>
    <row r="71" spans="1:26" ht="12.95" customHeight="1">
      <c r="A71" s="21"/>
      <c r="B71" s="4" t="s">
        <v>506</v>
      </c>
      <c r="C71" s="153"/>
      <c r="O71" s="154"/>
      <c r="P71" s="154"/>
      <c r="R71" s="379"/>
      <c r="S71" s="148" t="s">
        <v>149</v>
      </c>
      <c r="T71" s="196"/>
      <c r="Y71" s="4"/>
      <c r="Z71" s="4"/>
    </row>
    <row r="72" spans="1:26" ht="12.95" customHeight="1">
      <c r="A72" s="21"/>
      <c r="B72" s="4" t="s">
        <v>507</v>
      </c>
      <c r="C72" s="153"/>
      <c r="O72" s="154"/>
      <c r="P72" s="154"/>
      <c r="Q72" s="4" t="s">
        <v>4</v>
      </c>
      <c r="R72" s="385"/>
      <c r="S72" s="148"/>
      <c r="T72" s="196"/>
      <c r="Y72" s="4"/>
      <c r="Z72" s="4"/>
    </row>
    <row r="73" spans="1:26" ht="12.95" customHeight="1" thickBot="1">
      <c r="A73" s="21"/>
      <c r="B73" s="4"/>
      <c r="C73" s="153"/>
      <c r="O73" s="154"/>
      <c r="P73" s="154"/>
      <c r="R73" s="378"/>
      <c r="S73" s="148"/>
      <c r="T73" s="196"/>
      <c r="Y73" s="4"/>
      <c r="Z73" s="4"/>
    </row>
    <row r="74" spans="1:26" ht="12.95" customHeight="1" thickBot="1">
      <c r="B74" s="336"/>
      <c r="C74" s="337"/>
      <c r="D74" s="337"/>
      <c r="E74" s="337"/>
      <c r="F74" s="337"/>
      <c r="G74" s="337"/>
      <c r="H74" s="337"/>
      <c r="I74" s="337"/>
      <c r="J74" s="337"/>
      <c r="K74" s="337"/>
      <c r="L74" s="337"/>
      <c r="M74" s="337"/>
      <c r="N74" s="338"/>
      <c r="O74" s="338"/>
      <c r="P74" s="400" t="s">
        <v>32</v>
      </c>
      <c r="Q74" s="338"/>
      <c r="R74" s="338"/>
      <c r="S74" s="339"/>
      <c r="T74" s="340"/>
      <c r="Y74">
        <v>1</v>
      </c>
      <c r="Z74" s="4" t="s">
        <v>208</v>
      </c>
    </row>
    <row r="75" spans="1:26" ht="12.95" customHeight="1">
      <c r="A75" s="21"/>
      <c r="B75" s="4"/>
      <c r="R75" s="18"/>
      <c r="S75" s="215"/>
      <c r="Y75">
        <v>2</v>
      </c>
      <c r="Z75" s="4" t="s">
        <v>209</v>
      </c>
    </row>
    <row r="76" spans="1:26" ht="12.95" customHeight="1">
      <c r="A76" s="21"/>
      <c r="B76" s="1"/>
      <c r="K76" s="60"/>
      <c r="Z76" s="4"/>
    </row>
    <row r="77" spans="1:26" ht="12.95" customHeight="1">
      <c r="Z77" s="4"/>
    </row>
    <row r="78" spans="1:26" ht="12.95" customHeight="1">
      <c r="A78" s="21"/>
      <c r="B78" s="1"/>
      <c r="K78" s="60"/>
      <c r="Z78" s="4"/>
    </row>
    <row r="79" spans="1:26" ht="12.95" customHeight="1">
      <c r="A79" s="21"/>
      <c r="B79" s="4"/>
      <c r="K79" s="60"/>
      <c r="Z79" s="4"/>
    </row>
    <row r="80" spans="1:26" ht="12.95" customHeight="1">
      <c r="A80" s="21"/>
      <c r="B80" s="1"/>
      <c r="K80" s="60"/>
      <c r="Z80" s="4"/>
    </row>
    <row r="81" spans="1:26" ht="12.95" customHeight="1">
      <c r="Z81" s="4"/>
    </row>
    <row r="82" spans="1:26" ht="12.95" customHeight="1">
      <c r="Z82" s="4"/>
    </row>
    <row r="83" spans="1:26" ht="12.95" customHeight="1">
      <c r="Z83" s="4"/>
    </row>
    <row r="84" spans="1:26" ht="12.95" customHeight="1">
      <c r="Z84" s="4"/>
    </row>
    <row r="85" spans="1:26" ht="12.95" customHeight="1">
      <c r="Z85" s="4"/>
    </row>
    <row r="86" spans="1:26" ht="12.95" customHeight="1">
      <c r="Z86" s="4"/>
    </row>
    <row r="87" spans="1:26" ht="12.95" customHeight="1">
      <c r="Z87" s="4"/>
    </row>
    <row r="88" spans="1:26" ht="12.95" customHeight="1">
      <c r="Z88" s="4"/>
    </row>
    <row r="89" spans="1:26" ht="12.95" customHeight="1">
      <c r="Z89" s="4"/>
    </row>
    <row r="90" spans="1:26" ht="12.95" customHeight="1">
      <c r="Z90" s="4"/>
    </row>
    <row r="91" spans="1:26" ht="12.95" customHeight="1">
      <c r="Z91" s="4"/>
    </row>
    <row r="92" spans="1:26" ht="12.95" customHeight="1">
      <c r="A92" s="21"/>
      <c r="B92" s="1"/>
      <c r="K92" s="60"/>
      <c r="Z92" s="4"/>
    </row>
    <row r="93" spans="1:26" ht="12.95" customHeight="1">
      <c r="Z93" s="4"/>
    </row>
    <row r="94" spans="1:26" ht="12.95" customHeight="1">
      <c r="A94" s="21"/>
      <c r="Z94" s="4"/>
    </row>
    <row r="95" spans="1:26" ht="12.95" customHeight="1">
      <c r="A95" s="21"/>
      <c r="B95" s="4"/>
      <c r="C95" s="1"/>
      <c r="R95" s="13"/>
      <c r="Z95" s="4"/>
    </row>
    <row r="96" spans="1:26" ht="12.95" customHeight="1">
      <c r="Z96" s="4"/>
    </row>
    <row r="97" spans="1:26" ht="12.95" customHeight="1">
      <c r="Z97" s="4"/>
    </row>
    <row r="98" spans="1:26" ht="12.95" customHeight="1">
      <c r="Z98" s="4"/>
    </row>
    <row r="99" spans="1:26" ht="12.95" customHeight="1">
      <c r="A99" s="21"/>
      <c r="B99" s="1"/>
      <c r="K99" s="60"/>
      <c r="Z99" s="4"/>
    </row>
    <row r="100" spans="1:26" ht="12.95" customHeight="1">
      <c r="Z100" s="4"/>
    </row>
    <row r="101" spans="1:26" ht="12.95" customHeight="1">
      <c r="Y101">
        <v>3</v>
      </c>
      <c r="Z101" s="4" t="s">
        <v>210</v>
      </c>
    </row>
    <row r="102" spans="1:26" ht="12.95" customHeight="1">
      <c r="Y102">
        <v>4</v>
      </c>
      <c r="Z102" s="4" t="s">
        <v>211</v>
      </c>
    </row>
    <row r="103" spans="1:26" ht="12.95" customHeight="1">
      <c r="Y103">
        <v>5</v>
      </c>
      <c r="Z103" s="4" t="s">
        <v>212</v>
      </c>
    </row>
    <row r="104" spans="1:26" ht="12.95" customHeight="1">
      <c r="Y104">
        <v>6</v>
      </c>
      <c r="Z104" s="4" t="s">
        <v>213</v>
      </c>
    </row>
    <row r="105" spans="1:26">
      <c r="Y105">
        <v>7</v>
      </c>
      <c r="Z105" s="4" t="s">
        <v>214</v>
      </c>
    </row>
    <row r="106" spans="1:26">
      <c r="T106" s="18"/>
      <c r="Y106" s="4">
        <v>8</v>
      </c>
      <c r="Z106" s="4" t="s">
        <v>49</v>
      </c>
    </row>
    <row r="107" spans="1:26">
      <c r="T107" s="63"/>
      <c r="Y107" s="4">
        <v>9</v>
      </c>
      <c r="Z107" s="4" t="s">
        <v>50</v>
      </c>
    </row>
    <row r="108" spans="1:26">
      <c r="T108" s="2"/>
      <c r="Y108" s="4">
        <v>10</v>
      </c>
      <c r="Z108" s="4" t="s">
        <v>51</v>
      </c>
    </row>
    <row r="109" spans="1:26">
      <c r="T109" s="2"/>
      <c r="Y109" s="4">
        <v>11</v>
      </c>
      <c r="Z109" s="4" t="s">
        <v>215</v>
      </c>
    </row>
    <row r="110" spans="1:26">
      <c r="T110" s="2"/>
      <c r="Y110" s="4">
        <v>12</v>
      </c>
      <c r="Z110" s="4" t="s">
        <v>216</v>
      </c>
    </row>
    <row r="111" spans="1:26">
      <c r="T111" s="2"/>
      <c r="Y111" s="4">
        <v>13</v>
      </c>
      <c r="Z111" s="4" t="s">
        <v>72</v>
      </c>
    </row>
    <row r="112" spans="1:26">
      <c r="T112" s="2"/>
    </row>
    <row r="113" spans="1:26">
      <c r="T113" s="2"/>
      <c r="Y113" s="4">
        <v>0</v>
      </c>
      <c r="Z113" s="4" t="s">
        <v>198</v>
      </c>
    </row>
    <row r="114" spans="1:26">
      <c r="T114" s="2"/>
      <c r="Y114" s="4"/>
      <c r="Z114" s="4"/>
    </row>
    <row r="115" spans="1:26">
      <c r="T115" s="2"/>
      <c r="Y115" s="4">
        <v>1</v>
      </c>
      <c r="Z115" s="4" t="s">
        <v>199</v>
      </c>
    </row>
    <row r="116" spans="1:26">
      <c r="T116" s="2"/>
      <c r="Y116" s="4">
        <v>2</v>
      </c>
      <c r="Z116" s="4" t="s">
        <v>200</v>
      </c>
    </row>
    <row r="117" spans="1:26" ht="6" customHeight="1">
      <c r="T117" s="18"/>
      <c r="U117" s="16"/>
    </row>
    <row r="118" spans="1:26">
      <c r="U118" s="16"/>
    </row>
    <row r="119" spans="1:26" ht="6" customHeight="1">
      <c r="A119" s="21"/>
      <c r="B119" s="267"/>
      <c r="C119" s="267"/>
      <c r="D119" s="267"/>
      <c r="E119" s="267"/>
      <c r="F119" s="267"/>
      <c r="G119" s="267"/>
      <c r="H119" s="267"/>
      <c r="I119" s="267"/>
      <c r="J119" s="267"/>
      <c r="K119" s="267"/>
      <c r="L119" s="267"/>
      <c r="M119" s="267"/>
      <c r="N119" s="267"/>
      <c r="O119" s="267"/>
      <c r="P119" s="267"/>
      <c r="Q119" s="267"/>
      <c r="R119" s="267"/>
      <c r="S119" s="267"/>
      <c r="T119" s="267"/>
    </row>
    <row r="120" spans="1:26">
      <c r="C120" s="267"/>
      <c r="D120" s="267"/>
      <c r="E120" s="267"/>
      <c r="F120" s="267"/>
      <c r="G120" s="267"/>
      <c r="H120" s="267"/>
      <c r="I120" s="267"/>
      <c r="J120" s="267"/>
      <c r="K120" s="267"/>
      <c r="L120" s="267"/>
      <c r="M120" s="267"/>
      <c r="N120" s="267"/>
      <c r="O120" s="267"/>
      <c r="P120" s="267"/>
      <c r="Q120" s="267"/>
      <c r="R120" s="267"/>
      <c r="S120" s="267"/>
      <c r="T120" s="267"/>
    </row>
    <row r="121" spans="1:26">
      <c r="C121" s="267"/>
      <c r="D121" s="267"/>
      <c r="E121" s="267"/>
      <c r="F121" s="267"/>
      <c r="G121" s="267"/>
      <c r="H121" s="267"/>
      <c r="I121" s="267"/>
      <c r="J121" s="267"/>
      <c r="K121" s="267"/>
      <c r="L121" s="267"/>
      <c r="M121" s="267"/>
      <c r="N121" s="267"/>
      <c r="S121" s="267"/>
      <c r="T121" s="267"/>
      <c r="U121" s="17"/>
    </row>
    <row r="122" spans="1:26">
      <c r="T122" s="18"/>
      <c r="U122" s="17"/>
    </row>
    <row r="123" spans="1:26">
      <c r="T123" s="18"/>
      <c r="U123" s="17"/>
    </row>
    <row r="124" spans="1:26">
      <c r="A124" s="61"/>
      <c r="T124" s="19"/>
      <c r="U124" s="17"/>
    </row>
    <row r="125" spans="1:26">
      <c r="U125" s="17"/>
      <c r="W125" s="1"/>
    </row>
    <row r="126" spans="1:26">
      <c r="T126" s="18"/>
      <c r="U126" s="11"/>
      <c r="W126" s="4"/>
    </row>
    <row r="127" spans="1:26">
      <c r="A127" s="61"/>
      <c r="T127" s="18"/>
      <c r="U127" s="17"/>
    </row>
    <row r="128" spans="1:26">
      <c r="T128" s="18"/>
      <c r="U128" s="16"/>
    </row>
    <row r="129" spans="1:26" s="4" customFormat="1">
      <c r="A129" s="21"/>
      <c r="C129"/>
      <c r="D129"/>
      <c r="E129"/>
      <c r="F129"/>
      <c r="G129"/>
      <c r="H129"/>
      <c r="I129"/>
      <c r="J129"/>
      <c r="K129"/>
      <c r="L129"/>
      <c r="M129"/>
      <c r="N129" s="40"/>
      <c r="O129"/>
      <c r="P129"/>
      <c r="Q129"/>
      <c r="R129" s="18"/>
      <c r="S129"/>
      <c r="T129" s="18"/>
      <c r="U129"/>
    </row>
    <row r="130" spans="1:26">
      <c r="U130" s="3"/>
      <c r="Y130">
        <v>0</v>
      </c>
      <c r="Z130" t="s">
        <v>39</v>
      </c>
    </row>
    <row r="131" spans="1:26">
      <c r="B131" s="4"/>
      <c r="T131" s="20"/>
      <c r="Y131">
        <v>1</v>
      </c>
      <c r="Z131" t="s">
        <v>40</v>
      </c>
    </row>
    <row r="132" spans="1:26">
      <c r="Y132">
        <v>2</v>
      </c>
      <c r="Z132" t="s">
        <v>52</v>
      </c>
    </row>
    <row r="133" spans="1:26" ht="15.75">
      <c r="A133" s="21"/>
      <c r="B133" s="4"/>
      <c r="C133" s="153"/>
      <c r="O133" s="154"/>
      <c r="P133" s="17"/>
      <c r="R133" s="2"/>
      <c r="S133" s="4"/>
    </row>
    <row r="134" spans="1:26">
      <c r="A134" s="9"/>
      <c r="B134" s="159"/>
      <c r="C134" s="4"/>
      <c r="D134" s="4"/>
      <c r="E134" s="4"/>
      <c r="F134" s="4"/>
      <c r="G134" s="4"/>
      <c r="H134" s="4"/>
      <c r="I134" s="4"/>
      <c r="J134" s="159"/>
      <c r="K134" s="4"/>
      <c r="L134" s="4"/>
      <c r="M134" s="4"/>
      <c r="N134" s="4"/>
      <c r="O134" s="4"/>
      <c r="P134" s="4"/>
      <c r="Q134" s="4"/>
      <c r="R134" s="63"/>
      <c r="S134" s="11"/>
      <c r="T134" s="4"/>
      <c r="U134" s="10"/>
      <c r="V134" s="2"/>
    </row>
    <row r="135" spans="1:26">
      <c r="A135" s="9"/>
      <c r="B135" s="4"/>
      <c r="C135" s="4"/>
      <c r="D135" s="4"/>
      <c r="E135" s="4"/>
      <c r="F135" s="4"/>
      <c r="G135" s="4"/>
      <c r="H135" s="4"/>
      <c r="I135" s="4"/>
      <c r="J135" s="4"/>
      <c r="K135" s="4"/>
      <c r="L135" s="4"/>
      <c r="M135" s="4"/>
      <c r="N135" s="4"/>
      <c r="O135" s="4"/>
      <c r="P135" s="4"/>
      <c r="Q135" s="4"/>
      <c r="R135" s="13"/>
      <c r="S135" s="4"/>
      <c r="T135" s="4"/>
    </row>
    <row r="136" spans="1:26">
      <c r="A136" s="9"/>
      <c r="B136" s="4"/>
      <c r="C136" s="4"/>
      <c r="D136" s="4"/>
      <c r="E136" s="4"/>
      <c r="F136" s="4"/>
      <c r="G136" s="4"/>
      <c r="H136" s="4"/>
      <c r="I136" s="4"/>
      <c r="J136" s="4"/>
      <c r="K136" s="4"/>
      <c r="L136" s="4"/>
      <c r="M136" s="4"/>
      <c r="N136" s="4"/>
      <c r="O136" s="4"/>
      <c r="P136" s="4"/>
      <c r="Q136" s="4"/>
      <c r="R136" s="13"/>
      <c r="S136" s="4"/>
      <c r="T136" s="4"/>
    </row>
    <row r="137" spans="1:26">
      <c r="A137" s="37"/>
      <c r="B137" s="4"/>
      <c r="C137" s="4"/>
      <c r="D137" s="4"/>
      <c r="E137" s="4"/>
      <c r="F137" s="4"/>
      <c r="G137" s="4"/>
      <c r="H137" s="4"/>
      <c r="I137" s="4"/>
      <c r="J137" s="4"/>
      <c r="K137" s="4"/>
      <c r="L137" s="4"/>
      <c r="M137" s="4"/>
      <c r="N137" s="4"/>
      <c r="O137" s="4"/>
      <c r="P137" s="4"/>
      <c r="Q137" s="4"/>
      <c r="R137" s="4"/>
      <c r="S137" s="4"/>
      <c r="T137" s="4"/>
    </row>
    <row r="138" spans="1:26">
      <c r="A138" s="37"/>
      <c r="B138" s="4"/>
      <c r="C138" s="4"/>
      <c r="D138" s="4"/>
      <c r="E138" s="4"/>
      <c r="F138" s="4"/>
      <c r="G138" s="4"/>
      <c r="H138" s="4"/>
      <c r="I138" s="4"/>
      <c r="J138" s="4"/>
      <c r="K138" s="4"/>
      <c r="L138" s="4"/>
      <c r="M138" s="4"/>
      <c r="N138" s="4"/>
      <c r="O138" s="4"/>
      <c r="P138" s="4"/>
      <c r="Q138" s="4"/>
      <c r="R138" s="4"/>
      <c r="S138" s="4"/>
      <c r="T138" s="4"/>
    </row>
    <row r="139" spans="1:26">
      <c r="A139" s="37"/>
      <c r="B139" s="4"/>
      <c r="C139" s="4"/>
      <c r="D139" s="4"/>
      <c r="E139" s="4"/>
      <c r="F139" s="4"/>
      <c r="G139" s="4"/>
      <c r="H139" s="4"/>
      <c r="I139" s="4"/>
      <c r="J139" s="4"/>
      <c r="K139" s="4"/>
      <c r="L139" s="4"/>
      <c r="M139" s="4"/>
      <c r="N139" s="4"/>
      <c r="O139" s="4"/>
      <c r="P139" s="4"/>
      <c r="Q139" s="4"/>
      <c r="R139" s="63"/>
      <c r="S139" s="11"/>
      <c r="T139" s="4"/>
    </row>
    <row r="140" spans="1:26">
      <c r="A140" s="37"/>
      <c r="B140" s="4"/>
      <c r="C140" s="4"/>
      <c r="D140" s="4"/>
      <c r="E140" s="4"/>
      <c r="F140" s="4"/>
      <c r="G140" s="4"/>
      <c r="H140" s="4"/>
      <c r="I140" s="4"/>
      <c r="J140" s="4"/>
      <c r="K140" s="4"/>
      <c r="L140" s="4"/>
      <c r="M140" s="4"/>
      <c r="N140" s="4"/>
      <c r="O140" s="4"/>
      <c r="P140" s="4"/>
      <c r="Q140" s="4"/>
      <c r="R140" s="63"/>
      <c r="S140" s="11"/>
      <c r="T140" s="4"/>
    </row>
    <row r="141" spans="1:26">
      <c r="A141" s="37"/>
      <c r="B141" s="4"/>
      <c r="C141" s="4"/>
      <c r="D141" s="4"/>
      <c r="E141" s="4"/>
      <c r="F141" s="4"/>
      <c r="G141" s="4"/>
      <c r="H141" s="4"/>
      <c r="I141" s="4"/>
      <c r="J141" s="4"/>
      <c r="K141" s="4"/>
      <c r="L141" s="4"/>
      <c r="M141" s="4"/>
      <c r="N141" s="4"/>
      <c r="O141" s="4"/>
      <c r="P141" s="4"/>
      <c r="Q141" s="4"/>
      <c r="R141" s="63"/>
      <c r="S141" s="11"/>
      <c r="T141" s="4"/>
    </row>
    <row r="142" spans="1:26">
      <c r="A142" s="37"/>
      <c r="B142" s="4"/>
      <c r="C142" s="4"/>
      <c r="D142" s="4"/>
      <c r="E142" s="4"/>
      <c r="F142" s="4"/>
      <c r="G142" s="4"/>
      <c r="H142" s="4"/>
      <c r="I142" s="4"/>
      <c r="J142" s="4"/>
      <c r="K142" s="4"/>
      <c r="L142" s="4"/>
      <c r="M142" s="4"/>
      <c r="N142" s="4"/>
      <c r="O142" s="4"/>
      <c r="P142" s="4"/>
      <c r="Q142" s="4"/>
      <c r="R142" s="63"/>
      <c r="S142" s="11"/>
      <c r="T142" s="4"/>
    </row>
    <row r="143" spans="1:26">
      <c r="A143" s="37"/>
      <c r="B143" s="4"/>
      <c r="C143" s="4"/>
      <c r="D143" s="4"/>
      <c r="E143" s="4"/>
      <c r="F143" s="4"/>
      <c r="G143" s="4"/>
      <c r="H143" s="4"/>
      <c r="I143" s="4"/>
      <c r="J143" s="4"/>
      <c r="K143" s="4"/>
      <c r="L143" s="4"/>
      <c r="M143" s="4"/>
      <c r="N143" s="4"/>
      <c r="O143" s="4"/>
      <c r="P143" s="4"/>
      <c r="Q143" s="4"/>
      <c r="R143" s="63"/>
      <c r="S143" s="11"/>
      <c r="T143" s="4"/>
    </row>
    <row r="144" spans="1:26">
      <c r="A144" s="37"/>
      <c r="B144" s="4"/>
      <c r="C144" s="4"/>
      <c r="D144" s="4"/>
      <c r="E144" s="4"/>
      <c r="F144" s="4"/>
      <c r="G144" s="4"/>
      <c r="H144" s="4"/>
      <c r="I144" s="4"/>
      <c r="J144" s="4"/>
      <c r="K144" s="4"/>
      <c r="L144" s="4"/>
      <c r="M144" s="4"/>
      <c r="N144" s="4"/>
      <c r="O144" s="4"/>
      <c r="P144" s="4"/>
      <c r="Q144" s="4"/>
      <c r="R144" s="63"/>
      <c r="S144" s="4"/>
      <c r="T144" s="4"/>
    </row>
    <row r="145" spans="1:20">
      <c r="A145" s="37"/>
      <c r="B145" s="4"/>
      <c r="C145" s="4"/>
      <c r="D145" s="4"/>
      <c r="E145" s="4"/>
      <c r="F145" s="4"/>
      <c r="G145" s="4"/>
      <c r="H145" s="4"/>
      <c r="I145" s="4"/>
      <c r="J145" s="4"/>
      <c r="K145" s="4"/>
      <c r="L145" s="4"/>
      <c r="M145" s="4"/>
      <c r="N145" s="4"/>
      <c r="O145" s="4"/>
      <c r="P145" s="4"/>
      <c r="Q145" s="4"/>
      <c r="R145" s="63"/>
      <c r="S145" s="4"/>
      <c r="T145" s="4"/>
    </row>
    <row r="146" spans="1:20">
      <c r="A146" s="37"/>
      <c r="B146" s="4"/>
      <c r="C146" s="4"/>
      <c r="D146" s="4"/>
      <c r="E146" s="4"/>
      <c r="F146" s="4"/>
      <c r="G146" s="4"/>
      <c r="H146" s="4"/>
      <c r="I146" s="4"/>
      <c r="J146" s="4"/>
      <c r="K146" s="4"/>
      <c r="L146" s="4"/>
      <c r="M146" s="4"/>
      <c r="N146" s="4"/>
      <c r="O146" s="4"/>
      <c r="P146" s="4"/>
      <c r="Q146" s="4"/>
      <c r="R146" s="63"/>
      <c r="S146" s="11"/>
      <c r="T146" s="4"/>
    </row>
    <row r="147" spans="1:20">
      <c r="A147" s="37"/>
      <c r="B147" s="4"/>
      <c r="C147" s="4"/>
      <c r="D147" s="4"/>
      <c r="E147" s="4"/>
      <c r="F147" s="4"/>
      <c r="G147" s="4"/>
      <c r="H147" s="4"/>
      <c r="I147" s="4"/>
      <c r="J147" s="4"/>
      <c r="K147" s="4"/>
      <c r="L147" s="4"/>
      <c r="M147" s="4"/>
      <c r="N147" s="4"/>
      <c r="O147" s="4"/>
      <c r="P147" s="4"/>
      <c r="Q147" s="4"/>
      <c r="R147" s="161"/>
      <c r="S147" s="11"/>
      <c r="T147" s="4"/>
    </row>
    <row r="148" spans="1:20">
      <c r="A148" s="37"/>
      <c r="B148" s="4"/>
      <c r="C148" s="4"/>
      <c r="D148" s="4"/>
      <c r="E148" s="4"/>
      <c r="F148" s="4"/>
      <c r="G148" s="4"/>
      <c r="H148" s="4"/>
      <c r="I148" s="4"/>
      <c r="J148" s="4"/>
      <c r="K148" s="4"/>
      <c r="L148" s="4"/>
      <c r="M148" s="4"/>
      <c r="N148" s="4"/>
      <c r="O148" s="4"/>
      <c r="P148" s="4"/>
      <c r="Q148" s="4"/>
      <c r="R148" s="161"/>
      <c r="S148" s="11"/>
      <c r="T148" s="4"/>
    </row>
    <row r="149" spans="1:20">
      <c r="A149" s="37"/>
      <c r="B149" s="4"/>
      <c r="C149" s="4"/>
      <c r="D149" s="4"/>
      <c r="E149" s="4"/>
      <c r="F149" s="4"/>
      <c r="G149" s="4"/>
      <c r="H149" s="4"/>
      <c r="I149" s="4"/>
      <c r="J149" s="4"/>
      <c r="K149" s="4"/>
      <c r="L149" s="4"/>
      <c r="M149" s="4"/>
      <c r="N149" s="4"/>
      <c r="O149" s="4"/>
      <c r="P149" s="4"/>
      <c r="Q149" s="4"/>
      <c r="R149" s="63"/>
      <c r="S149" s="11"/>
      <c r="T149" s="4"/>
    </row>
    <row r="150" spans="1:20">
      <c r="A150" s="37"/>
      <c r="B150" s="4"/>
      <c r="C150" s="4"/>
      <c r="D150" s="4"/>
      <c r="E150" s="4"/>
      <c r="F150" s="4"/>
      <c r="G150" s="4"/>
      <c r="H150" s="4"/>
      <c r="I150" s="4"/>
      <c r="J150" s="4"/>
      <c r="K150" s="4"/>
      <c r="L150" s="4"/>
      <c r="M150" s="4"/>
      <c r="N150" s="4"/>
      <c r="O150" s="4"/>
      <c r="P150" s="4"/>
      <c r="Q150" s="4"/>
      <c r="R150" s="63"/>
      <c r="S150" s="11"/>
      <c r="T150" s="4"/>
    </row>
    <row r="151" spans="1:20">
      <c r="A151" s="37"/>
      <c r="B151" s="4"/>
      <c r="C151" s="4"/>
      <c r="D151" s="4"/>
      <c r="E151" s="4"/>
      <c r="F151" s="4"/>
      <c r="G151" s="4"/>
      <c r="H151" s="4"/>
      <c r="I151" s="4"/>
      <c r="J151" s="4"/>
      <c r="K151" s="4"/>
      <c r="L151" s="4"/>
      <c r="M151" s="4"/>
      <c r="N151" s="4"/>
      <c r="O151" s="4"/>
      <c r="P151" s="4"/>
      <c r="Q151" s="4"/>
      <c r="R151" s="4"/>
      <c r="S151" s="4"/>
      <c r="T151" s="4"/>
    </row>
    <row r="152" spans="1:20">
      <c r="A152" s="37"/>
      <c r="B152" s="4"/>
      <c r="C152" s="4"/>
      <c r="D152" s="4"/>
      <c r="E152" s="4"/>
      <c r="F152" s="4"/>
      <c r="G152" s="4"/>
      <c r="H152" s="4"/>
      <c r="I152" s="4"/>
      <c r="J152" s="4"/>
      <c r="K152" s="4"/>
      <c r="L152" s="4"/>
      <c r="M152" s="4"/>
      <c r="N152" s="4"/>
      <c r="O152" s="4"/>
      <c r="P152" s="4"/>
      <c r="Q152" s="4"/>
      <c r="R152" s="63"/>
      <c r="S152" s="4"/>
      <c r="T152" s="4"/>
    </row>
    <row r="153" spans="1:20">
      <c r="A153" s="37"/>
      <c r="B153" s="4"/>
      <c r="C153" s="4"/>
      <c r="D153" s="4"/>
      <c r="E153" s="4"/>
      <c r="F153" s="4"/>
      <c r="G153" s="4"/>
      <c r="H153" s="4"/>
      <c r="I153" s="4"/>
      <c r="J153" s="4"/>
      <c r="K153" s="4"/>
      <c r="L153" s="4"/>
      <c r="M153" s="4"/>
      <c r="N153" s="4"/>
      <c r="O153" s="4"/>
      <c r="P153" s="4"/>
      <c r="Q153" s="4"/>
      <c r="R153" s="161"/>
      <c r="S153" s="11"/>
      <c r="T153" s="4"/>
    </row>
    <row r="154" spans="1:20">
      <c r="A154" s="37"/>
      <c r="B154" s="214"/>
      <c r="C154" s="4"/>
      <c r="D154" s="4"/>
      <c r="E154" s="4"/>
      <c r="F154" s="4"/>
      <c r="G154" s="4"/>
      <c r="H154" s="4"/>
      <c r="I154" s="4"/>
      <c r="J154" s="4"/>
      <c r="K154" s="4"/>
      <c r="L154" s="4"/>
      <c r="M154" s="4"/>
      <c r="N154" s="4"/>
      <c r="O154" s="4"/>
      <c r="P154" s="4"/>
      <c r="Q154" s="4"/>
      <c r="R154" s="63"/>
      <c r="S154" s="11"/>
      <c r="T154" s="4"/>
    </row>
    <row r="155" spans="1:20">
      <c r="A155" s="37"/>
      <c r="B155" s="4"/>
      <c r="C155" s="4"/>
      <c r="D155" s="4"/>
      <c r="E155" s="4"/>
      <c r="F155" s="4"/>
      <c r="G155" s="4"/>
      <c r="H155" s="4"/>
      <c r="I155" s="4"/>
      <c r="J155" s="4"/>
      <c r="K155" s="4"/>
      <c r="L155" s="4"/>
      <c r="M155" s="4"/>
      <c r="N155" s="4"/>
      <c r="O155" s="4"/>
      <c r="P155" s="4"/>
      <c r="Q155" s="4"/>
      <c r="R155" s="4"/>
      <c r="S155" s="4"/>
      <c r="T155" s="4"/>
    </row>
    <row r="156" spans="1:20"/>
    <row r="157" spans="1:20"/>
    <row r="158" spans="1:20"/>
    <row r="159" spans="1:20"/>
    <row r="160" spans="1:2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sheetData>
  <sheetProtection password="CF42" sheet="1" selectLockedCells="1"/>
  <phoneticPr fontId="0" type="noConversion"/>
  <pageMargins left="0.5" right="0.5" top="0.5" bottom="0.5" header="0.5" footer="0.5"/>
  <pageSetup scale="96" orientation="portrait" horizontalDpi="360" verticalDpi="36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59"/>
  <sheetViews>
    <sheetView showGridLines="0" showRowColHeaders="0" zoomScaleNormal="100" workbookViewId="0">
      <selection activeCell="T3" sqref="T3"/>
    </sheetView>
  </sheetViews>
  <sheetFormatPr defaultColWidth="0" defaultRowHeight="12.75"/>
  <cols>
    <col min="1" max="1" width="3.5703125" style="12" customWidth="1"/>
    <col min="2" max="15" width="2.5703125" customWidth="1"/>
    <col min="16" max="16" width="15.5703125" customWidth="1"/>
    <col min="17" max="17" width="2.5703125" customWidth="1"/>
    <col min="18" max="18" width="15.5703125" customWidth="1"/>
    <col min="19" max="19" width="2.5703125" customWidth="1"/>
    <col min="20" max="20" width="15.5703125" customWidth="1"/>
    <col min="21" max="22" width="2.5703125" customWidth="1"/>
    <col min="23" max="23" width="6" hidden="1" customWidth="1"/>
    <col min="24" max="52" width="9.140625" hidden="1" customWidth="1"/>
    <col min="53" max="16384" width="8.85546875" hidden="1"/>
  </cols>
  <sheetData>
    <row r="1" spans="1:24" ht="18" customHeight="1">
      <c r="A1" s="386"/>
      <c r="B1" s="393" t="s">
        <v>54</v>
      </c>
      <c r="C1" s="389"/>
      <c r="D1" s="389"/>
      <c r="E1" s="389"/>
      <c r="F1" s="389"/>
      <c r="G1" s="389"/>
      <c r="H1" s="389"/>
      <c r="I1" s="389"/>
      <c r="J1" s="389"/>
      <c r="K1" s="389"/>
      <c r="L1" s="389"/>
      <c r="M1" s="389"/>
      <c r="N1" s="395" t="s">
        <v>508</v>
      </c>
      <c r="O1" s="389"/>
      <c r="P1" s="389"/>
      <c r="Q1" s="389"/>
      <c r="R1" s="389"/>
      <c r="S1" s="389"/>
      <c r="T1" s="389"/>
      <c r="U1" s="389"/>
    </row>
    <row r="2" spans="1:24" ht="6" customHeight="1" thickBot="1">
      <c r="W2" s="4" t="s">
        <v>145</v>
      </c>
    </row>
    <row r="3" spans="1:24" ht="12.75" customHeight="1" thickTop="1" thickBot="1">
      <c r="A3" s="21" t="s">
        <v>342</v>
      </c>
      <c r="B3" s="159" t="s">
        <v>255</v>
      </c>
      <c r="R3" s="221" t="s">
        <v>256</v>
      </c>
      <c r="T3" s="223"/>
      <c r="W3" s="4" t="s">
        <v>146</v>
      </c>
    </row>
    <row r="4" spans="1:24" ht="6" customHeight="1" thickTop="1">
      <c r="A4" s="21"/>
      <c r="U4" s="4"/>
    </row>
    <row r="5" spans="1:24" ht="12.95" customHeight="1">
      <c r="A5" s="21"/>
      <c r="B5" s="146" t="str">
        <f>"a.  If yes, "&amp;Yr-1&amp;" increase (+) or decrease (-) in LIFO reserves?"</f>
        <v>a.  If yes, 2022 increase (+) or decrease (-) in LIFO reserves?</v>
      </c>
      <c r="T5" s="385"/>
      <c r="U5" s="4"/>
    </row>
    <row r="6" spans="1:24" ht="12.75" customHeight="1">
      <c r="A6" s="21"/>
      <c r="B6" s="146" t="str">
        <f>"b.  If yes, "&amp;Yr-1&amp;" ending balance LIFO reserve?"</f>
        <v>b.  If yes, 2022 ending balance LIFO reserve?</v>
      </c>
      <c r="O6" s="64"/>
      <c r="P6" s="64"/>
      <c r="Q6" s="64"/>
      <c r="R6" s="64"/>
      <c r="S6" s="65"/>
      <c r="T6" s="234"/>
      <c r="U6" s="4"/>
    </row>
    <row r="7" spans="1:24" ht="6" customHeight="1">
      <c r="A7" s="21"/>
      <c r="B7" s="146"/>
      <c r="O7" s="69"/>
      <c r="P7" s="69"/>
      <c r="Q7" s="69"/>
      <c r="R7" s="69"/>
      <c r="S7" s="69"/>
      <c r="T7" s="401"/>
      <c r="U7" s="4"/>
    </row>
    <row r="8" spans="1:24" ht="12.75" customHeight="1">
      <c r="B8" s="4" t="s">
        <v>339</v>
      </c>
      <c r="U8" s="4"/>
      <c r="X8" s="4"/>
    </row>
    <row r="9" spans="1:24" ht="12.75" customHeight="1">
      <c r="A9" s="21" t="s">
        <v>343</v>
      </c>
      <c r="B9" s="1" t="s">
        <v>253</v>
      </c>
      <c r="L9" s="64"/>
      <c r="M9" s="64"/>
      <c r="N9" s="64"/>
      <c r="O9" s="64"/>
      <c r="P9" s="64"/>
      <c r="Q9" s="64"/>
      <c r="R9" s="64"/>
      <c r="S9" s="71" t="s">
        <v>4</v>
      </c>
      <c r="T9" s="186"/>
      <c r="U9" s="4"/>
      <c r="X9" s="4"/>
    </row>
    <row r="10" spans="1:24" ht="12.75" customHeight="1">
      <c r="A10" s="21" t="s">
        <v>344</v>
      </c>
      <c r="B10" s="1" t="s">
        <v>252</v>
      </c>
      <c r="H10" s="203"/>
      <c r="I10" s="203"/>
      <c r="J10" s="203"/>
      <c r="K10" s="203"/>
      <c r="L10" s="64"/>
      <c r="M10" s="64"/>
      <c r="N10" s="64"/>
      <c r="O10" s="64"/>
      <c r="P10" s="64"/>
      <c r="Q10" s="64"/>
      <c r="R10" s="64"/>
      <c r="S10" s="71" t="s">
        <v>4</v>
      </c>
      <c r="T10" s="186"/>
      <c r="U10" s="4"/>
      <c r="X10" s="4"/>
    </row>
    <row r="11" spans="1:24" ht="12.75" customHeight="1">
      <c r="A11" s="21" t="s">
        <v>345</v>
      </c>
      <c r="B11" s="1" t="s">
        <v>254</v>
      </c>
      <c r="I11" s="60"/>
      <c r="K11" s="203"/>
      <c r="L11" s="203"/>
      <c r="M11" s="203"/>
      <c r="N11" s="203"/>
      <c r="O11" s="402"/>
      <c r="P11" s="207"/>
      <c r="Q11" s="207"/>
      <c r="R11" s="207"/>
      <c r="S11" s="403" t="s">
        <v>4</v>
      </c>
      <c r="T11" s="186"/>
      <c r="U11" s="4"/>
      <c r="X11" s="4"/>
    </row>
    <row r="12" spans="1:24" ht="12.75" customHeight="1">
      <c r="A12" s="21"/>
      <c r="B12" s="1"/>
      <c r="S12" s="3"/>
      <c r="T12" s="229"/>
      <c r="U12" s="4"/>
      <c r="X12" s="4"/>
    </row>
    <row r="13" spans="1:24">
      <c r="A13" s="396" t="s">
        <v>346</v>
      </c>
      <c r="B13" s="397" t="s">
        <v>73</v>
      </c>
      <c r="C13" s="398"/>
      <c r="D13" s="398"/>
      <c r="E13" s="398"/>
      <c r="F13" s="398"/>
      <c r="G13" s="398"/>
      <c r="H13" s="398"/>
      <c r="I13" s="398"/>
      <c r="J13" s="398"/>
      <c r="K13" s="398"/>
      <c r="L13" s="398"/>
      <c r="M13" s="398"/>
      <c r="N13" s="399"/>
      <c r="O13" s="399"/>
      <c r="P13" s="399"/>
      <c r="Q13" s="399"/>
      <c r="R13" s="399"/>
      <c r="S13" s="399"/>
      <c r="T13" s="399"/>
      <c r="U13" s="399"/>
      <c r="W13" t="s">
        <v>39</v>
      </c>
      <c r="X13" t="s">
        <v>141</v>
      </c>
    </row>
    <row r="14" spans="1:24" ht="18" customHeight="1">
      <c r="B14" s="70" t="s">
        <v>5</v>
      </c>
      <c r="C14" s="1"/>
      <c r="W14">
        <v>0</v>
      </c>
      <c r="X14" s="4" t="s">
        <v>62</v>
      </c>
    </row>
    <row r="15" spans="1:24" ht="15" customHeight="1">
      <c r="B15" s="1" t="s">
        <v>6</v>
      </c>
      <c r="C15" s="1"/>
      <c r="W15" s="4" t="s">
        <v>145</v>
      </c>
      <c r="X15" s="4" t="s">
        <v>62</v>
      </c>
    </row>
    <row r="16" spans="1:24" ht="12.75" customHeight="1">
      <c r="B16" t="s">
        <v>11</v>
      </c>
      <c r="K16" s="64"/>
      <c r="L16" s="64"/>
      <c r="M16" s="64"/>
      <c r="N16" s="64"/>
      <c r="O16" s="64"/>
      <c r="P16" s="64"/>
      <c r="Q16" s="64"/>
      <c r="R16" s="64"/>
      <c r="S16" s="73" t="s">
        <v>4</v>
      </c>
      <c r="T16" s="183"/>
      <c r="W16" s="4" t="s">
        <v>146</v>
      </c>
      <c r="X16" t="s">
        <v>141</v>
      </c>
    </row>
    <row r="17" spans="2:40" ht="12.75" customHeight="1">
      <c r="B17" s="4" t="s">
        <v>59</v>
      </c>
      <c r="C17" s="1"/>
      <c r="I17" s="60" t="s">
        <v>509</v>
      </c>
      <c r="K17" s="69"/>
      <c r="L17" s="69"/>
      <c r="M17" s="69"/>
      <c r="N17" s="69"/>
      <c r="O17" s="69"/>
      <c r="P17" s="69"/>
      <c r="Q17" s="68"/>
      <c r="R17" s="68"/>
      <c r="S17" s="74"/>
      <c r="T17" s="183"/>
    </row>
    <row r="18" spans="2:40" ht="12.75" customHeight="1">
      <c r="B18" s="4" t="s">
        <v>10</v>
      </c>
      <c r="D18" s="40"/>
      <c r="E18" s="40"/>
      <c r="F18" s="60"/>
      <c r="G18" s="40"/>
      <c r="H18" s="40"/>
      <c r="J18" s="40"/>
      <c r="K18" s="40"/>
      <c r="L18" s="40"/>
      <c r="M18" s="40"/>
      <c r="Q18" s="69"/>
      <c r="R18" s="69"/>
      <c r="S18" s="160"/>
      <c r="T18" s="183"/>
    </row>
    <row r="19" spans="2:40" ht="12.75" customHeight="1">
      <c r="B19" t="s">
        <v>7</v>
      </c>
      <c r="C19" s="1"/>
      <c r="I19" s="64"/>
      <c r="J19" s="64"/>
      <c r="K19" s="64"/>
      <c r="L19" s="64"/>
      <c r="M19" s="64"/>
      <c r="N19" s="64"/>
      <c r="O19" s="64"/>
      <c r="P19" s="64"/>
      <c r="Q19" s="64"/>
      <c r="R19" s="64"/>
      <c r="S19" s="75"/>
      <c r="T19" s="183"/>
      <c r="W19" t="s">
        <v>40</v>
      </c>
      <c r="X19" t="s">
        <v>42</v>
      </c>
    </row>
    <row r="20" spans="2:40" ht="12.75" customHeight="1">
      <c r="C20" s="1" t="s">
        <v>64</v>
      </c>
      <c r="K20" s="404" t="s">
        <v>510</v>
      </c>
      <c r="S20" s="3" t="s">
        <v>4</v>
      </c>
      <c r="T20" s="23">
        <f>Cash+AR+Inv+Oca</f>
        <v>0</v>
      </c>
      <c r="W20" t="s">
        <v>39</v>
      </c>
      <c r="X20" t="s">
        <v>140</v>
      </c>
    </row>
    <row r="21" spans="2:40" ht="12.75" customHeight="1">
      <c r="B21" s="4" t="s">
        <v>519</v>
      </c>
      <c r="C21" s="1"/>
      <c r="J21" s="33"/>
      <c r="M21" s="4" t="s">
        <v>518</v>
      </c>
      <c r="S21" s="10"/>
      <c r="T21" s="183"/>
      <c r="W21">
        <v>0</v>
      </c>
      <c r="X21" t="s">
        <v>42</v>
      </c>
    </row>
    <row r="22" spans="2:40" ht="12.75" customHeight="1">
      <c r="C22" s="1" t="s">
        <v>63</v>
      </c>
      <c r="E22" s="40"/>
      <c r="F22" s="40"/>
      <c r="G22" s="40"/>
      <c r="H22" s="404" t="s">
        <v>511</v>
      </c>
      <c r="I22" s="40"/>
      <c r="J22" s="40"/>
      <c r="K22" s="40"/>
      <c r="L22" s="40"/>
      <c r="M22" s="40"/>
      <c r="O22" s="40"/>
      <c r="S22" s="3" t="s">
        <v>4</v>
      </c>
      <c r="T22" s="23">
        <f>CA+Fixed+OFA</f>
        <v>0</v>
      </c>
    </row>
    <row r="23" spans="2:40" ht="6" customHeight="1">
      <c r="C23" s="1"/>
      <c r="E23" s="40"/>
      <c r="F23" s="40"/>
      <c r="G23" s="40"/>
      <c r="H23" s="60"/>
      <c r="I23" s="40"/>
      <c r="J23" s="40"/>
      <c r="K23" s="40"/>
      <c r="L23" s="40"/>
      <c r="M23" s="40"/>
      <c r="O23" s="40"/>
      <c r="S23" s="3"/>
      <c r="T23" s="23"/>
    </row>
    <row r="24" spans="2:40" ht="12.75" customHeight="1">
      <c r="B24" s="70" t="s">
        <v>8</v>
      </c>
      <c r="C24" s="1"/>
      <c r="S24" s="20"/>
    </row>
    <row r="25" spans="2:40" ht="12.75" customHeight="1">
      <c r="B25" s="1" t="s">
        <v>9</v>
      </c>
      <c r="C25" s="1"/>
      <c r="S25" s="20"/>
    </row>
    <row r="26" spans="2:40" ht="12.75" customHeight="1">
      <c r="B26" t="s">
        <v>68</v>
      </c>
      <c r="H26" s="4" t="s">
        <v>512</v>
      </c>
      <c r="J26" s="64"/>
      <c r="K26" s="64"/>
      <c r="L26" s="64"/>
      <c r="M26" s="64"/>
      <c r="N26" s="64"/>
      <c r="O26" s="64"/>
      <c r="P26" s="64"/>
      <c r="Q26" s="64"/>
      <c r="R26" s="64"/>
      <c r="S26" s="77" t="s">
        <v>4</v>
      </c>
      <c r="T26" s="183"/>
      <c r="X26" s="158" t="s">
        <v>153</v>
      </c>
      <c r="Y26" s="40"/>
      <c r="Z26" s="40"/>
      <c r="AA26" s="60"/>
      <c r="AB26" s="209"/>
      <c r="AC26" s="40"/>
      <c r="AE26" s="40"/>
      <c r="AF26" s="40"/>
      <c r="AG26" s="40"/>
      <c r="AH26" s="40"/>
      <c r="AN26" s="10"/>
    </row>
    <row r="27" spans="2:40" ht="12.75" customHeight="1">
      <c r="B27" s="4" t="s">
        <v>516</v>
      </c>
      <c r="C27" s="1"/>
      <c r="G27" s="60"/>
      <c r="J27" s="69"/>
      <c r="K27" s="69"/>
      <c r="L27" s="69"/>
      <c r="M27" s="69"/>
      <c r="N27" s="69"/>
      <c r="O27" s="69"/>
      <c r="P27" s="69"/>
      <c r="Q27" s="69"/>
      <c r="R27" s="405" t="s">
        <v>517</v>
      </c>
      <c r="S27" s="76"/>
      <c r="T27" s="183"/>
      <c r="X27" s="158" t="s">
        <v>154</v>
      </c>
      <c r="Y27" s="40"/>
      <c r="Z27" s="40"/>
      <c r="AA27" s="60"/>
      <c r="AB27" s="209"/>
      <c r="AC27" s="40"/>
      <c r="AE27" s="40"/>
      <c r="AF27" s="40"/>
      <c r="AG27" s="40"/>
      <c r="AH27" s="40"/>
      <c r="AN27" s="10"/>
    </row>
    <row r="28" spans="2:40" ht="12.75" customHeight="1">
      <c r="B28" t="s">
        <v>69</v>
      </c>
      <c r="C28" s="1"/>
      <c r="J28" s="60" t="s">
        <v>513</v>
      </c>
      <c r="O28" s="64"/>
      <c r="P28" s="64"/>
      <c r="Q28" s="64"/>
      <c r="R28" s="64"/>
      <c r="S28" s="76"/>
      <c r="T28" s="183"/>
      <c r="X28" s="158" t="s">
        <v>155</v>
      </c>
      <c r="Y28" s="40"/>
      <c r="Z28" s="40"/>
      <c r="AA28" s="60"/>
      <c r="AB28" s="209"/>
      <c r="AC28" s="40"/>
      <c r="AE28" s="40"/>
      <c r="AF28" s="40"/>
      <c r="AG28" s="40"/>
      <c r="AH28" s="40"/>
      <c r="AN28" s="10"/>
    </row>
    <row r="29" spans="2:40" ht="12.75" customHeight="1">
      <c r="C29" s="1" t="s">
        <v>65</v>
      </c>
      <c r="O29" s="69"/>
      <c r="P29" s="69"/>
      <c r="Q29" s="69"/>
      <c r="R29" s="69"/>
      <c r="S29" s="79" t="s">
        <v>4</v>
      </c>
      <c r="T29" s="23">
        <f>AP+NP+Ocl</f>
        <v>0</v>
      </c>
      <c r="X29" s="158" t="s">
        <v>156</v>
      </c>
      <c r="Y29" s="40"/>
      <c r="Z29" s="40"/>
      <c r="AA29" s="60"/>
      <c r="AB29" s="209"/>
      <c r="AC29" s="40"/>
      <c r="AE29" s="40"/>
      <c r="AF29" s="40"/>
      <c r="AG29" s="40"/>
      <c r="AH29" s="40"/>
      <c r="AN29" s="10"/>
    </row>
    <row r="30" spans="2:40" ht="12.75" customHeight="1">
      <c r="B30" t="s">
        <v>70</v>
      </c>
      <c r="C30" s="1"/>
      <c r="I30" s="60" t="s">
        <v>514</v>
      </c>
      <c r="O30" s="64"/>
      <c r="P30" s="64"/>
      <c r="Q30" s="64"/>
      <c r="R30" s="64"/>
      <c r="S30" s="78"/>
      <c r="T30" s="183"/>
      <c r="AB30" s="213"/>
    </row>
    <row r="31" spans="2:40">
      <c r="B31" t="s">
        <v>36</v>
      </c>
      <c r="C31" s="1"/>
      <c r="J31" s="64"/>
      <c r="K31" s="64"/>
      <c r="L31" s="64"/>
      <c r="M31" s="64"/>
      <c r="N31" s="64"/>
      <c r="O31" s="64"/>
      <c r="P31" s="68"/>
      <c r="Q31" s="68"/>
      <c r="R31" s="68"/>
      <c r="S31" s="76"/>
      <c r="T31" s="183"/>
      <c r="X31" s="4" t="s">
        <v>157</v>
      </c>
      <c r="AB31" s="210">
        <v>0</v>
      </c>
      <c r="AL31" s="10"/>
      <c r="AM31" s="2"/>
      <c r="AN31" s="10"/>
    </row>
    <row r="32" spans="2:40" ht="12.75" customHeight="1">
      <c r="B32" t="s">
        <v>71</v>
      </c>
      <c r="C32" s="1"/>
      <c r="K32" s="60" t="s">
        <v>515</v>
      </c>
      <c r="S32" s="10"/>
      <c r="T32" s="13">
        <f>(Liab-(CL+LTL+Loan))</f>
        <v>0</v>
      </c>
    </row>
    <row r="33" spans="2:23" ht="12.75" customHeight="1">
      <c r="C33" s="1" t="s">
        <v>66</v>
      </c>
      <c r="S33" s="3" t="s">
        <v>4</v>
      </c>
      <c r="T33" s="23">
        <f>TA</f>
        <v>0</v>
      </c>
    </row>
    <row r="34" spans="2:23" ht="12.75" customHeight="1" thickBot="1">
      <c r="W34">
        <v>0</v>
      </c>
    </row>
    <row r="35" spans="2:23" ht="12.75" customHeight="1" thickBot="1">
      <c r="B35" s="336"/>
      <c r="C35" s="337"/>
      <c r="D35" s="337"/>
      <c r="E35" s="337"/>
      <c r="F35" s="337"/>
      <c r="G35" s="337"/>
      <c r="H35" s="337"/>
      <c r="I35" s="337"/>
      <c r="J35" s="337"/>
      <c r="K35" s="337"/>
      <c r="L35" s="337"/>
      <c r="M35" s="337"/>
      <c r="N35" s="338"/>
      <c r="O35" s="338"/>
      <c r="P35" s="400" t="s">
        <v>32</v>
      </c>
      <c r="Q35" s="338"/>
      <c r="R35" s="338"/>
      <c r="S35" s="339"/>
      <c r="T35" s="340"/>
    </row>
    <row r="36" spans="2:23" ht="12.75" customHeight="1"/>
    <row r="37" spans="2:23" ht="12.75" customHeight="1"/>
    <row r="38" spans="2:23" ht="12.75" customHeight="1">
      <c r="T38" s="132"/>
    </row>
    <row r="39" spans="2:23" ht="12.75" customHeight="1"/>
    <row r="40" spans="2:23" ht="12.75" customHeight="1"/>
    <row r="41" spans="2:23" ht="12.75" customHeight="1">
      <c r="D41" s="2"/>
      <c r="E41" s="2"/>
      <c r="F41" s="2"/>
      <c r="G41" s="2"/>
      <c r="H41" s="2"/>
      <c r="I41" s="2"/>
      <c r="J41" s="2"/>
      <c r="K41" s="2"/>
      <c r="L41" s="2"/>
      <c r="M41" s="2"/>
    </row>
    <row r="42" spans="2:23" ht="12.75" customHeight="1"/>
    <row r="43" spans="2:23" ht="12.75" customHeight="1"/>
    <row r="56" spans="2:2">
      <c r="B56" s="4"/>
    </row>
    <row r="57" spans="2:2">
      <c r="B57" s="4"/>
    </row>
    <row r="58" spans="2:2">
      <c r="B58" s="4"/>
    </row>
    <row r="59" spans="2:2">
      <c r="B59" s="4"/>
    </row>
  </sheetData>
  <sheetProtection password="CF42" sheet="1" selectLockedCells="1"/>
  <phoneticPr fontId="0" type="noConversion"/>
  <pageMargins left="0.75" right="0.75" top="1" bottom="1" header="0.5" footer="0.5"/>
  <pageSetup orientation="portrait" r:id="rId1"/>
  <headerFooter alignWithMargins="0"/>
  <colBreaks count="1" manualBreakCount="1">
    <brk id="20" max="3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236"/>
  <sheetViews>
    <sheetView showGridLines="0" showRowColHeaders="0" zoomScaleNormal="100" zoomScaleSheetLayoutView="75" workbookViewId="0">
      <selection activeCell="T2" sqref="T2"/>
    </sheetView>
  </sheetViews>
  <sheetFormatPr defaultColWidth="0" defaultRowHeight="12.75" zeroHeight="1"/>
  <cols>
    <col min="1" max="1" width="3.5703125" style="12" customWidth="1"/>
    <col min="2" max="15" width="2.5703125" customWidth="1"/>
    <col min="16" max="16" width="15.5703125" customWidth="1"/>
    <col min="17" max="17" width="2.5703125" customWidth="1"/>
    <col min="18" max="18" width="15.5703125" customWidth="1"/>
    <col min="19" max="19" width="2.5703125" style="10" customWidth="1"/>
    <col min="20" max="20" width="15.7109375" customWidth="1"/>
    <col min="21" max="21" width="18.28515625" customWidth="1"/>
    <col min="22" max="16384" width="18.5703125" hidden="1"/>
  </cols>
  <sheetData>
    <row r="1" spans="1:256" ht="18" customHeight="1">
      <c r="A1" s="412"/>
      <c r="B1" s="393" t="s">
        <v>57</v>
      </c>
      <c r="C1" s="413"/>
      <c r="D1" s="413"/>
      <c r="E1" s="413"/>
      <c r="F1" s="413"/>
      <c r="G1" s="413"/>
      <c r="H1" s="413"/>
      <c r="I1" s="413"/>
      <c r="J1" s="413"/>
      <c r="K1" s="413"/>
      <c r="L1" s="414"/>
      <c r="M1" s="414"/>
      <c r="N1" s="394" t="s">
        <v>529</v>
      </c>
      <c r="O1" s="415"/>
      <c r="P1" s="415"/>
      <c r="Q1" s="415"/>
      <c r="R1" s="415"/>
      <c r="S1" s="416"/>
      <c r="T1" s="415"/>
      <c r="U1" s="415"/>
    </row>
    <row r="2" spans="1:256" ht="18" customHeight="1">
      <c r="A2" s="147" t="s">
        <v>530</v>
      </c>
      <c r="B2" s="148" t="str">
        <f>"Previous fiscal year Net Sales, "&amp;Yr-2&amp;""</f>
        <v>Previous fiscal year Net Sales, 2021</v>
      </c>
      <c r="C2" s="146"/>
      <c r="D2" s="146"/>
      <c r="E2" s="146"/>
      <c r="F2" s="146"/>
      <c r="G2" s="146"/>
      <c r="H2" s="146"/>
      <c r="I2" s="146"/>
      <c r="J2" s="146"/>
      <c r="K2" s="146"/>
      <c r="N2" s="146"/>
      <c r="O2" s="146"/>
      <c r="P2" s="462"/>
      <c r="Q2" s="462"/>
      <c r="R2" s="146"/>
      <c r="S2" s="149" t="s">
        <v>4</v>
      </c>
      <c r="T2" s="184"/>
      <c r="U2" s="146"/>
    </row>
    <row r="3" spans="1:256" ht="6" customHeight="1">
      <c r="A3" s="386"/>
      <c r="B3" s="387"/>
      <c r="C3" s="409"/>
      <c r="D3" s="409"/>
      <c r="E3" s="409"/>
      <c r="F3" s="409"/>
      <c r="G3" s="409"/>
      <c r="H3" s="409"/>
      <c r="I3" s="409"/>
      <c r="J3" s="409"/>
      <c r="K3" s="409"/>
      <c r="L3" s="389"/>
      <c r="M3" s="389"/>
      <c r="N3" s="390"/>
      <c r="O3" s="410"/>
      <c r="P3" s="410"/>
      <c r="Q3" s="410"/>
      <c r="R3" s="410"/>
      <c r="S3" s="411"/>
      <c r="T3" s="410"/>
      <c r="U3" s="410"/>
    </row>
    <row r="4" spans="1:256" ht="15" customHeight="1">
      <c r="A4" s="21" t="s">
        <v>531</v>
      </c>
      <c r="B4" s="1" t="s">
        <v>57</v>
      </c>
      <c r="J4" s="4"/>
      <c r="K4" s="4"/>
      <c r="L4" s="51" t="s">
        <v>142</v>
      </c>
      <c r="M4" s="476">
        <f>Yr-1</f>
        <v>2022</v>
      </c>
      <c r="N4" s="476"/>
      <c r="O4" s="4" t="s">
        <v>143</v>
      </c>
      <c r="P4" s="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row>
    <row r="5" spans="1:256" ht="15" customHeight="1">
      <c r="B5" s="1" t="s">
        <v>43</v>
      </c>
      <c r="E5" s="40"/>
      <c r="F5" s="4" t="s">
        <v>532</v>
      </c>
      <c r="H5" s="40"/>
      <c r="I5" s="40"/>
      <c r="J5" s="40"/>
      <c r="K5" s="40"/>
      <c r="L5" s="40"/>
      <c r="M5" s="40"/>
      <c r="S5" s="230" t="s">
        <v>4</v>
      </c>
      <c r="T5" s="184"/>
      <c r="U5" s="4"/>
    </row>
    <row r="6" spans="1:256" ht="12.75" customHeight="1">
      <c r="C6" s="1" t="s">
        <v>55</v>
      </c>
      <c r="I6" s="203"/>
      <c r="J6" s="205"/>
      <c r="K6" s="203"/>
      <c r="L6" s="203"/>
      <c r="M6" s="203"/>
      <c r="N6" s="203"/>
      <c r="O6" s="402"/>
      <c r="P6" s="402"/>
      <c r="Q6" s="402"/>
      <c r="R6" s="203"/>
      <c r="S6" s="204" t="s">
        <v>4</v>
      </c>
      <c r="T6" s="190"/>
      <c r="U6" s="4"/>
    </row>
    <row r="7" spans="1:256" ht="12.75" customHeight="1">
      <c r="C7" s="4"/>
      <c r="D7" s="159" t="s">
        <v>534</v>
      </c>
      <c r="J7" s="4"/>
      <c r="O7" s="40"/>
      <c r="P7" s="40"/>
      <c r="Q7" s="40"/>
      <c r="S7" s="3"/>
      <c r="T7" s="13"/>
      <c r="U7" s="4"/>
    </row>
    <row r="8" spans="1:256" ht="12.75" customHeight="1">
      <c r="C8" s="4"/>
      <c r="D8" s="60" t="s">
        <v>533</v>
      </c>
      <c r="J8" s="4"/>
      <c r="O8" s="40"/>
      <c r="P8" s="40"/>
      <c r="Q8" s="40"/>
      <c r="S8" s="3"/>
      <c r="T8" s="13"/>
      <c r="U8" s="4"/>
    </row>
    <row r="9" spans="1:256" ht="12.75" customHeight="1">
      <c r="B9" s="1" t="s">
        <v>163</v>
      </c>
      <c r="G9" s="235" t="s">
        <v>414</v>
      </c>
      <c r="O9" s="40"/>
      <c r="P9" s="40"/>
      <c r="Q9" s="40"/>
      <c r="S9" s="3" t="s">
        <v>4</v>
      </c>
      <c r="T9" s="23">
        <f>NS-COGS</f>
        <v>0</v>
      </c>
      <c r="U9" s="4"/>
    </row>
    <row r="10" spans="1:256" ht="6" customHeight="1">
      <c r="B10" s="1"/>
      <c r="G10" s="235"/>
      <c r="O10" s="40"/>
      <c r="P10" s="40"/>
      <c r="Q10" s="40"/>
      <c r="S10" s="3"/>
      <c r="T10" s="23"/>
      <c r="U10" s="4"/>
    </row>
    <row r="11" spans="1:256" ht="12.75" customHeight="1">
      <c r="B11" s="408" t="s">
        <v>160</v>
      </c>
      <c r="G11" s="235"/>
      <c r="O11" s="40"/>
      <c r="P11" s="40"/>
      <c r="Q11" s="40"/>
      <c r="S11" s="3"/>
      <c r="T11" s="23"/>
      <c r="U11" s="4"/>
    </row>
    <row r="12" spans="1:256" ht="12.75" customHeight="1">
      <c r="B12" s="157" t="s">
        <v>564</v>
      </c>
      <c r="I12" s="4"/>
      <c r="P12" s="203"/>
      <c r="Q12" s="203"/>
      <c r="R12" s="203"/>
      <c r="S12" s="3" t="s">
        <v>4</v>
      </c>
      <c r="T12" s="184"/>
      <c r="U12" s="4"/>
    </row>
    <row r="13" spans="1:256" ht="12.75" customHeight="1">
      <c r="B13" s="4" t="s">
        <v>720</v>
      </c>
      <c r="G13" s="235"/>
      <c r="O13" s="40"/>
      <c r="P13" s="452"/>
      <c r="Q13" s="66"/>
      <c r="R13" s="64"/>
      <c r="S13" s="71"/>
      <c r="T13" s="191"/>
      <c r="U13" s="4"/>
    </row>
    <row r="14" spans="1:256" ht="12.75" customHeight="1">
      <c r="B14" s="4" t="s">
        <v>722</v>
      </c>
      <c r="G14" s="235"/>
      <c r="O14" s="40"/>
      <c r="P14" s="66"/>
      <c r="Q14" s="67"/>
      <c r="R14" s="68"/>
      <c r="S14" s="72"/>
      <c r="T14" s="183"/>
      <c r="U14" s="4"/>
    </row>
    <row r="15" spans="1:256" ht="12.75" customHeight="1">
      <c r="B15" s="4" t="s">
        <v>721</v>
      </c>
      <c r="G15" s="235"/>
      <c r="O15" s="66"/>
      <c r="P15" s="67"/>
      <c r="Q15" s="67"/>
      <c r="R15" s="68"/>
      <c r="S15" s="72"/>
      <c r="T15" s="183"/>
      <c r="U15" s="4"/>
    </row>
    <row r="16" spans="1:256" ht="12.75" customHeight="1">
      <c r="B16" s="4" t="s">
        <v>723</v>
      </c>
      <c r="G16" s="235"/>
      <c r="O16" s="40"/>
      <c r="P16" s="453"/>
      <c r="Q16" s="453"/>
      <c r="R16" s="68"/>
      <c r="S16" s="72"/>
      <c r="T16" s="184"/>
      <c r="U16" s="4"/>
    </row>
    <row r="17" spans="2:21" ht="12.75" customHeight="1">
      <c r="C17" s="156" t="s">
        <v>190</v>
      </c>
      <c r="G17" s="235"/>
      <c r="O17" s="40"/>
      <c r="P17" s="40"/>
      <c r="Q17" s="40"/>
      <c r="S17" s="3"/>
      <c r="T17" s="161">
        <f>PA_Exec+PA_Out+PA_WHS+PA_Driver+PA_OTH</f>
        <v>0</v>
      </c>
      <c r="U17" s="13"/>
    </row>
    <row r="18" spans="2:21" ht="12.75" customHeight="1">
      <c r="B18" s="158" t="s">
        <v>447</v>
      </c>
      <c r="C18" s="33"/>
      <c r="G18" s="235"/>
      <c r="O18" s="40"/>
      <c r="P18" s="66"/>
      <c r="Q18" s="66"/>
      <c r="R18" s="64"/>
      <c r="S18" s="71"/>
      <c r="T18" s="417"/>
      <c r="U18" s="13"/>
    </row>
    <row r="19" spans="2:21" ht="12.75" customHeight="1">
      <c r="B19" s="158" t="s">
        <v>448</v>
      </c>
      <c r="C19" s="33"/>
      <c r="G19" s="235"/>
      <c r="O19" s="40"/>
      <c r="P19" s="67"/>
      <c r="Q19" s="67"/>
      <c r="R19" s="68"/>
      <c r="S19" s="72"/>
      <c r="T19" s="417"/>
      <c r="U19" s="13"/>
    </row>
    <row r="20" spans="2:21" ht="12.75" customHeight="1">
      <c r="B20" s="4" t="s">
        <v>677</v>
      </c>
      <c r="C20" s="33"/>
      <c r="G20" s="235"/>
      <c r="O20" s="40"/>
      <c r="P20" s="453"/>
      <c r="Q20" s="453"/>
      <c r="R20" s="68"/>
      <c r="S20" s="72"/>
      <c r="T20" s="417"/>
      <c r="U20" s="13"/>
    </row>
    <row r="21" spans="2:21" ht="12.75" customHeight="1">
      <c r="C21" s="1" t="s">
        <v>162</v>
      </c>
      <c r="G21" s="235"/>
      <c r="O21" s="40"/>
      <c r="P21" s="40"/>
      <c r="Q21" s="40"/>
      <c r="S21" s="3"/>
      <c r="T21" s="418">
        <f>SAL+PT+GRP_INS+BENE</f>
        <v>0</v>
      </c>
      <c r="U21" s="13"/>
    </row>
    <row r="22" spans="2:21" ht="6" customHeight="1">
      <c r="B22" s="408"/>
      <c r="G22" s="235"/>
      <c r="O22" s="40"/>
      <c r="P22" s="40"/>
      <c r="Q22" s="40"/>
      <c r="S22" s="3"/>
      <c r="T22" s="23"/>
      <c r="U22" s="4"/>
    </row>
    <row r="23" spans="2:21" ht="12.75" customHeight="1">
      <c r="B23" s="444" t="s">
        <v>166</v>
      </c>
      <c r="C23" s="445"/>
      <c r="D23" s="4"/>
      <c r="E23" s="4"/>
      <c r="F23" s="4"/>
      <c r="G23" s="4"/>
      <c r="H23" s="4"/>
      <c r="I23" s="60"/>
      <c r="J23" s="4" t="s">
        <v>725</v>
      </c>
      <c r="O23" s="40"/>
      <c r="P23" s="40"/>
      <c r="Q23" s="40"/>
      <c r="S23"/>
      <c r="T23" s="183"/>
      <c r="U23" s="4"/>
    </row>
    <row r="24" spans="2:21" ht="12.75" customHeight="1">
      <c r="B24" s="442" t="s">
        <v>241</v>
      </c>
      <c r="C24" s="442"/>
      <c r="D24" s="442"/>
      <c r="E24" s="442"/>
      <c r="F24" s="443" t="s">
        <v>724</v>
      </c>
      <c r="G24" s="4"/>
      <c r="H24" s="4"/>
      <c r="I24" s="60"/>
      <c r="J24" s="4"/>
      <c r="O24" s="40"/>
      <c r="P24" s="40"/>
      <c r="Q24" s="40"/>
      <c r="S24"/>
      <c r="T24" s="183"/>
      <c r="U24" s="4"/>
    </row>
    <row r="25" spans="2:21" ht="12.75" customHeight="1">
      <c r="B25" s="4" t="s">
        <v>240</v>
      </c>
      <c r="C25" s="442"/>
      <c r="D25" s="442"/>
      <c r="E25" s="442"/>
      <c r="F25" s="443"/>
      <c r="G25" s="4"/>
      <c r="H25" s="4"/>
      <c r="I25" s="60"/>
      <c r="J25" s="4"/>
      <c r="O25" s="40"/>
      <c r="P25" s="66"/>
      <c r="Q25" s="66"/>
      <c r="S25"/>
      <c r="T25" s="183"/>
      <c r="U25" s="4"/>
    </row>
    <row r="26" spans="2:21" ht="12.75" customHeight="1">
      <c r="B26" s="4" t="s">
        <v>169</v>
      </c>
      <c r="K26" s="60" t="s">
        <v>726</v>
      </c>
      <c r="R26" s="69"/>
      <c r="S26" s="451"/>
      <c r="T26" s="183"/>
      <c r="U26" s="13"/>
    </row>
    <row r="27" spans="2:21" ht="12.75" customHeight="1">
      <c r="C27" s="1" t="s">
        <v>164</v>
      </c>
      <c r="L27" s="235"/>
      <c r="P27" s="60"/>
      <c r="Q27" s="40"/>
      <c r="S27" s="3" t="s">
        <v>4</v>
      </c>
      <c r="T27" s="23">
        <f>PA+OC+VEH+DPR+OE</f>
        <v>0</v>
      </c>
      <c r="U27" s="13"/>
    </row>
    <row r="28" spans="2:21" ht="12.75" customHeight="1">
      <c r="B28" s="1" t="s">
        <v>48</v>
      </c>
      <c r="H28" s="420" t="s">
        <v>410</v>
      </c>
      <c r="O28" s="40"/>
      <c r="P28" s="40"/>
      <c r="Q28" s="40"/>
      <c r="S28" s="3" t="s">
        <v>4</v>
      </c>
      <c r="T28" s="23">
        <f>GP-TE</f>
        <v>0</v>
      </c>
      <c r="U28" s="13"/>
    </row>
    <row r="29" spans="2:21" ht="12.75" customHeight="1">
      <c r="B29" s="4" t="s">
        <v>451</v>
      </c>
      <c r="H29" s="248"/>
      <c r="O29" s="40"/>
      <c r="P29" s="66"/>
      <c r="Q29" s="66"/>
      <c r="R29" s="64"/>
      <c r="S29" s="71"/>
      <c r="T29" s="183"/>
      <c r="U29" s="13"/>
    </row>
    <row r="30" spans="2:21" ht="12.75" customHeight="1">
      <c r="B30" s="4" t="s">
        <v>452</v>
      </c>
      <c r="H30" s="248"/>
      <c r="O30" s="40"/>
      <c r="P30" s="67"/>
      <c r="Q30" s="67"/>
      <c r="R30" s="68"/>
      <c r="S30" s="72"/>
      <c r="T30" s="183"/>
      <c r="U30" s="13"/>
    </row>
    <row r="31" spans="2:21" ht="12.75" customHeight="1">
      <c r="B31" s="4" t="s">
        <v>453</v>
      </c>
      <c r="M31" s="266"/>
      <c r="P31" s="68"/>
      <c r="Q31" s="68"/>
      <c r="R31" s="68"/>
      <c r="S31" s="74"/>
      <c r="T31" s="183"/>
      <c r="U31" s="13"/>
    </row>
    <row r="32" spans="2:21" ht="12.75" customHeight="1">
      <c r="B32" s="1" t="s">
        <v>411</v>
      </c>
      <c r="I32" s="60"/>
      <c r="S32" s="3" t="s">
        <v>4</v>
      </c>
      <c r="T32" s="23">
        <f>OP+OI-Int-Oex</f>
        <v>0</v>
      </c>
      <c r="U32" s="13"/>
    </row>
    <row r="33" spans="2:256" ht="12.75" customHeight="1">
      <c r="B33" t="s">
        <v>47</v>
      </c>
      <c r="G33" s="60" t="s">
        <v>46</v>
      </c>
      <c r="O33" s="40"/>
      <c r="P33" s="40"/>
      <c r="Q33" s="40"/>
      <c r="T33" s="183"/>
      <c r="U33" s="13"/>
    </row>
    <row r="34" spans="2:256" ht="12.75" customHeight="1">
      <c r="B34" s="1" t="s">
        <v>61</v>
      </c>
      <c r="S34" s="3" t="s">
        <v>4</v>
      </c>
      <c r="T34" s="23">
        <f>PBT-Tax</f>
        <v>0</v>
      </c>
      <c r="U34" s="13"/>
    </row>
    <row r="35" spans="2:256" ht="12.75" customHeight="1" thickBot="1">
      <c r="B35" s="1"/>
      <c r="G35" s="235"/>
      <c r="O35" s="40"/>
      <c r="P35" s="40"/>
      <c r="Q35" s="40"/>
      <c r="S35" s="3"/>
      <c r="T35" s="23"/>
      <c r="U35" s="4"/>
    </row>
    <row r="36" spans="2:256" ht="12.95" customHeight="1" thickBot="1">
      <c r="B36" s="336"/>
      <c r="C36" s="337"/>
      <c r="D36" s="337"/>
      <c r="E36" s="337"/>
      <c r="F36" s="337"/>
      <c r="G36" s="337"/>
      <c r="H36" s="337"/>
      <c r="I36" s="337"/>
      <c r="J36" s="337"/>
      <c r="K36" s="337"/>
      <c r="L36" s="337"/>
      <c r="M36" s="337"/>
      <c r="N36" s="338"/>
      <c r="O36" s="338"/>
      <c r="P36" s="419" t="s">
        <v>412</v>
      </c>
      <c r="Q36" s="338"/>
      <c r="R36" s="338"/>
      <c r="S36" s="339"/>
      <c r="T36" s="340"/>
      <c r="U36" s="4"/>
    </row>
    <row r="37" spans="2:256" ht="6" customHeight="1">
      <c r="B37" s="1"/>
      <c r="G37" s="235"/>
      <c r="O37" s="40"/>
      <c r="P37" s="40"/>
      <c r="Q37" s="40"/>
      <c r="S37" s="3"/>
      <c r="T37" s="23"/>
      <c r="U37" s="4"/>
    </row>
    <row r="38" spans="2:256" ht="12.95" customHeight="1">
      <c r="B38" s="268" t="s">
        <v>413</v>
      </c>
      <c r="G38" s="235"/>
      <c r="O38" s="40"/>
      <c r="P38" s="40"/>
      <c r="Q38" s="40"/>
      <c r="S38" s="3"/>
      <c r="T38" s="23"/>
      <c r="U38" s="4"/>
    </row>
    <row r="39" spans="2:256" ht="12.95" customHeight="1">
      <c r="B39" s="269" t="s">
        <v>67</v>
      </c>
      <c r="G39" s="235"/>
      <c r="O39" s="477" t="s">
        <v>739</v>
      </c>
      <c r="P39" s="478"/>
      <c r="Q39" s="478"/>
      <c r="R39" s="478"/>
      <c r="S39" s="3"/>
      <c r="T39" s="23"/>
      <c r="U39" s="4"/>
    </row>
    <row r="40" spans="2:256" ht="12.95" customHeight="1">
      <c r="B40" s="269"/>
      <c r="G40" s="235"/>
      <c r="O40" s="40"/>
      <c r="P40" s="40"/>
      <c r="Q40" s="40"/>
      <c r="S40" s="3"/>
      <c r="T40" s="23"/>
      <c r="U40" s="4"/>
    </row>
    <row r="41" spans="2:256" ht="12.95" customHeight="1">
      <c r="B41" s="269"/>
      <c r="G41" s="235"/>
      <c r="O41" s="40"/>
      <c r="P41" s="40"/>
      <c r="Q41" s="40"/>
      <c r="S41" s="3"/>
      <c r="T41" s="23"/>
      <c r="U41" s="4"/>
    </row>
    <row r="42" spans="2:256" ht="12.95" customHeight="1">
      <c r="B42" s="1"/>
      <c r="H42" s="4"/>
    </row>
    <row r="43" spans="2:256" ht="12.95" customHeight="1">
      <c r="B43" s="4"/>
      <c r="G43" s="235"/>
      <c r="O43" s="40"/>
      <c r="P43" s="40"/>
      <c r="Q43" s="40"/>
      <c r="S43" s="3"/>
      <c r="T43" s="325"/>
      <c r="U43" s="4"/>
    </row>
    <row r="44" spans="2:256" ht="12.95" customHeight="1">
      <c r="B44" s="4"/>
      <c r="G44" s="235"/>
      <c r="O44" s="40"/>
      <c r="P44" s="40"/>
      <c r="Q44" s="40"/>
      <c r="S44" s="3"/>
      <c r="T44" s="2"/>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row>
    <row r="45" spans="2:256" ht="12.95" customHeight="1">
      <c r="B45" s="4"/>
      <c r="G45" s="235"/>
      <c r="O45" s="40"/>
      <c r="P45" s="40"/>
      <c r="Q45" s="40"/>
      <c r="S45" s="3"/>
      <c r="T45" s="2"/>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row>
    <row r="46" spans="2:256" ht="12.95" customHeight="1">
      <c r="B46" s="1"/>
      <c r="C46" s="1"/>
      <c r="G46" s="235"/>
      <c r="O46" s="40"/>
      <c r="P46" s="40"/>
      <c r="Q46" s="40"/>
      <c r="S46" s="3"/>
      <c r="T46" s="13"/>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row>
    <row r="47" spans="2:256" ht="12.95" customHeight="1">
      <c r="B47" s="4"/>
      <c r="G47" s="235"/>
      <c r="O47" s="40"/>
      <c r="P47" s="40"/>
      <c r="Q47" s="40"/>
      <c r="S47" s="3"/>
      <c r="T47" s="13"/>
      <c r="U47" s="13"/>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row>
    <row r="48" spans="2:256" ht="12.95" customHeight="1">
      <c r="B48" s="4"/>
      <c r="G48" s="235"/>
      <c r="O48" s="40"/>
      <c r="P48" s="40"/>
      <c r="Q48" s="40"/>
      <c r="S48" s="3"/>
      <c r="T48" s="13"/>
      <c r="U48" s="13"/>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row>
    <row r="49" spans="2:21" ht="12.95" customHeight="1">
      <c r="B49" s="4"/>
      <c r="G49" s="235"/>
      <c r="O49" s="40"/>
      <c r="P49" s="40"/>
      <c r="Q49" s="40"/>
      <c r="S49" s="3"/>
      <c r="T49" s="13"/>
      <c r="U49" s="13"/>
    </row>
    <row r="50" spans="2:21" ht="12.95" customHeight="1">
      <c r="B50" s="1"/>
      <c r="C50" s="1"/>
      <c r="G50" s="235"/>
      <c r="O50" s="40"/>
      <c r="P50" s="40"/>
      <c r="Q50" s="40"/>
      <c r="S50" s="3"/>
      <c r="T50" s="13"/>
      <c r="U50" s="4"/>
    </row>
    <row r="51" spans="2:21" ht="12.95" customHeight="1">
      <c r="B51" s="4"/>
      <c r="G51" s="235"/>
      <c r="O51" s="40"/>
      <c r="P51" s="40"/>
      <c r="Q51" s="40"/>
      <c r="S51" s="3"/>
      <c r="T51" s="13"/>
      <c r="U51" s="4"/>
    </row>
    <row r="52" spans="2:21" ht="12.95" customHeight="1">
      <c r="B52" s="4"/>
      <c r="F52" s="4"/>
      <c r="T52" s="2"/>
      <c r="U52" s="13"/>
    </row>
    <row r="53" spans="2:21" ht="12.95" customHeight="1">
      <c r="B53" s="4"/>
      <c r="H53" s="4"/>
      <c r="K53" s="60"/>
      <c r="O53" s="4"/>
      <c r="T53" s="2"/>
      <c r="U53" s="13"/>
    </row>
    <row r="54" spans="2:21" ht="12.95" customHeight="1">
      <c r="B54" s="4"/>
      <c r="C54" s="1"/>
      <c r="D54" s="4"/>
      <c r="E54" s="4"/>
      <c r="G54" s="4"/>
      <c r="H54" s="4"/>
      <c r="I54" s="4"/>
      <c r="J54" s="60"/>
      <c r="K54" s="4"/>
      <c r="L54" s="4"/>
      <c r="N54" s="4"/>
      <c r="O54" s="4"/>
      <c r="P54" s="4"/>
      <c r="Q54" s="4"/>
      <c r="S54" s="3"/>
      <c r="T54" s="2"/>
      <c r="U54" s="13"/>
    </row>
    <row r="55" spans="2:21" ht="12.95" customHeight="1">
      <c r="B55" s="4"/>
      <c r="G55" s="235"/>
      <c r="O55" s="40"/>
      <c r="P55" s="40"/>
      <c r="Q55" s="40"/>
      <c r="S55" s="3"/>
      <c r="T55" s="13"/>
      <c r="U55" s="4"/>
    </row>
    <row r="56" spans="2:21" ht="12.95" customHeight="1">
      <c r="B56" s="1"/>
      <c r="C56" s="1"/>
      <c r="G56" s="235"/>
      <c r="O56" s="40"/>
      <c r="P56" s="40"/>
      <c r="Q56" s="40"/>
      <c r="S56" s="3"/>
      <c r="T56" s="23"/>
      <c r="U56" s="4"/>
    </row>
    <row r="57" spans="2:21" ht="12.95" customHeight="1">
      <c r="B57" s="1"/>
      <c r="G57" s="235"/>
      <c r="O57" s="40"/>
      <c r="P57" s="40"/>
      <c r="Q57" s="40"/>
      <c r="S57" s="3"/>
      <c r="T57" s="23"/>
      <c r="U57" s="4"/>
    </row>
    <row r="58" spans="2:21" ht="12.95" customHeight="1">
      <c r="B58" s="408"/>
      <c r="G58" s="235"/>
      <c r="O58" s="40"/>
      <c r="P58" s="40"/>
      <c r="Q58" s="40"/>
      <c r="S58" s="3"/>
      <c r="T58" s="23"/>
      <c r="U58" s="4"/>
    </row>
    <row r="59" spans="2:21" ht="12.95" customHeight="1">
      <c r="S59"/>
      <c r="U59" s="13"/>
    </row>
    <row r="60" spans="2:21" ht="12.95" customHeight="1">
      <c r="B60" s="4"/>
      <c r="G60" s="235"/>
      <c r="O60" s="40"/>
      <c r="P60" s="40"/>
      <c r="Q60" s="40"/>
      <c r="S60" s="3"/>
      <c r="T60" s="2"/>
      <c r="U60" s="4"/>
    </row>
    <row r="61" spans="2:21" ht="12.95" customHeight="1">
      <c r="B61" s="4"/>
      <c r="G61" s="235"/>
      <c r="O61" s="40"/>
      <c r="P61" s="40"/>
      <c r="Q61" s="40"/>
      <c r="S61" s="3"/>
      <c r="T61" s="13"/>
      <c r="U61" s="4"/>
    </row>
    <row r="62" spans="2:21" ht="12.95" customHeight="1">
      <c r="S62"/>
      <c r="U62" s="13"/>
    </row>
    <row r="63" spans="2:21" ht="12.95" customHeight="1">
      <c r="B63" s="1"/>
      <c r="C63" s="1"/>
      <c r="G63" s="235"/>
      <c r="O63" s="40"/>
      <c r="P63" s="40"/>
      <c r="Q63" s="40"/>
      <c r="S63" s="3"/>
      <c r="T63" s="13"/>
      <c r="U63" s="4"/>
    </row>
    <row r="64" spans="2:21" ht="12.95" customHeight="1">
      <c r="B64" s="4"/>
      <c r="G64" s="235"/>
      <c r="O64" s="40"/>
      <c r="P64" s="40"/>
      <c r="Q64" s="40"/>
      <c r="S64" s="3"/>
      <c r="T64" s="13"/>
      <c r="U64" s="13"/>
    </row>
    <row r="65" spans="2:21" ht="12.95" customHeight="1">
      <c r="B65" s="4"/>
      <c r="G65" s="235"/>
      <c r="O65" s="40"/>
      <c r="P65" s="40"/>
      <c r="Q65" s="40"/>
      <c r="S65" s="3"/>
      <c r="T65" s="13"/>
      <c r="U65" s="13"/>
    </row>
    <row r="66" spans="2:21" ht="12.95" customHeight="1">
      <c r="B66" s="4"/>
      <c r="G66" s="235"/>
      <c r="O66" s="40"/>
      <c r="P66" s="40"/>
      <c r="Q66" s="40"/>
      <c r="S66" s="3"/>
      <c r="T66" s="13"/>
      <c r="U66" s="13"/>
    </row>
    <row r="67" spans="2:21" ht="12.95" customHeight="1">
      <c r="B67" s="1"/>
      <c r="C67" s="1"/>
      <c r="G67" s="235"/>
      <c r="O67" s="40"/>
      <c r="P67" s="40"/>
      <c r="Q67" s="40"/>
      <c r="S67" s="3"/>
      <c r="T67" s="13"/>
      <c r="U67" s="4"/>
    </row>
    <row r="68" spans="2:21" ht="12.95" customHeight="1">
      <c r="B68" s="4"/>
      <c r="C68" s="1"/>
      <c r="G68" s="235"/>
      <c r="O68" s="40"/>
      <c r="P68" s="40"/>
      <c r="Q68" s="40"/>
      <c r="S68" s="3"/>
      <c r="T68" s="13"/>
      <c r="U68" s="13"/>
    </row>
    <row r="69" spans="2:21" ht="12.95" customHeight="1">
      <c r="B69" s="4"/>
      <c r="C69" s="1"/>
      <c r="D69" s="4"/>
      <c r="E69" s="4"/>
      <c r="F69" s="4"/>
      <c r="G69" s="4"/>
      <c r="H69" s="4"/>
      <c r="I69" s="4"/>
      <c r="J69" s="4"/>
      <c r="K69" s="4"/>
      <c r="L69" s="4"/>
      <c r="M69" s="4"/>
      <c r="N69" s="4"/>
      <c r="O69" s="4"/>
      <c r="P69" s="4"/>
      <c r="Q69" s="4"/>
      <c r="S69" s="3"/>
      <c r="T69" s="2"/>
      <c r="U69" s="13"/>
    </row>
    <row r="70" spans="2:21" ht="12.95" customHeight="1">
      <c r="B70" s="4"/>
      <c r="C70" s="1"/>
      <c r="D70" s="4"/>
      <c r="E70" s="4"/>
      <c r="F70" s="4"/>
      <c r="G70" s="4"/>
      <c r="H70" s="4"/>
      <c r="I70" s="4"/>
      <c r="J70" s="4"/>
      <c r="K70" s="4"/>
      <c r="L70" s="4"/>
      <c r="M70" s="4"/>
      <c r="N70" s="4"/>
      <c r="O70" s="4"/>
      <c r="P70" s="4"/>
      <c r="Q70" s="4"/>
      <c r="S70" s="3"/>
      <c r="T70" s="2"/>
      <c r="U70" s="13"/>
    </row>
    <row r="71" spans="2:21" ht="12.95" customHeight="1">
      <c r="B71" s="4"/>
      <c r="C71" s="1"/>
      <c r="D71" s="4"/>
      <c r="E71" s="4"/>
      <c r="F71" s="4"/>
      <c r="G71" s="4"/>
      <c r="H71" s="4"/>
      <c r="I71" s="4"/>
      <c r="J71" s="4"/>
      <c r="K71" s="4"/>
      <c r="L71" s="4"/>
      <c r="M71" s="4"/>
      <c r="N71" s="4"/>
      <c r="O71" s="4"/>
      <c r="P71" s="4"/>
      <c r="Q71" s="4"/>
      <c r="S71" s="3"/>
      <c r="T71" s="2"/>
      <c r="U71" s="13"/>
    </row>
    <row r="72" spans="2:21" ht="12.95" customHeight="1">
      <c r="B72" s="4"/>
      <c r="G72" s="235"/>
      <c r="O72" s="40"/>
      <c r="P72" s="40"/>
      <c r="Q72" s="40"/>
      <c r="S72" s="3"/>
      <c r="T72" s="13"/>
      <c r="U72" s="4"/>
    </row>
    <row r="73" spans="2:21" ht="12.95" customHeight="1">
      <c r="B73" s="4"/>
      <c r="G73" s="4"/>
      <c r="J73" s="60"/>
      <c r="O73" s="40"/>
      <c r="T73" s="2"/>
      <c r="U73" s="13"/>
    </row>
    <row r="74" spans="2:21" ht="12.95" customHeight="1">
      <c r="B74" s="4"/>
      <c r="G74" s="235"/>
      <c r="O74" s="40"/>
      <c r="P74" s="40"/>
      <c r="Q74" s="40"/>
      <c r="S74" s="3"/>
      <c r="T74" s="13"/>
      <c r="U74" s="4"/>
    </row>
    <row r="75" spans="2:21" ht="12.95" customHeight="1">
      <c r="B75" s="1"/>
      <c r="C75" s="1"/>
      <c r="G75" s="235"/>
      <c r="O75" s="40"/>
      <c r="P75" s="40"/>
      <c r="Q75" s="40"/>
      <c r="S75" s="3"/>
      <c r="T75" s="23"/>
      <c r="U75" s="4"/>
    </row>
    <row r="76" spans="2:21" ht="12.95" customHeight="1">
      <c r="B76" s="1"/>
      <c r="G76" s="235"/>
      <c r="O76" s="40"/>
      <c r="P76" s="40"/>
      <c r="Q76" s="40"/>
      <c r="S76" s="3"/>
      <c r="T76" s="23"/>
      <c r="U76" s="4"/>
    </row>
    <row r="77" spans="2:21" ht="12.95" customHeight="1">
      <c r="B77" s="70"/>
      <c r="G77" s="235"/>
      <c r="O77" s="40"/>
      <c r="P77" s="40"/>
      <c r="Q77" s="40"/>
      <c r="S77" s="3"/>
      <c r="T77" s="23"/>
      <c r="U77" s="4"/>
    </row>
    <row r="78" spans="2:21" ht="12.95" customHeight="1">
      <c r="B78" s="4"/>
      <c r="H78" s="4"/>
      <c r="T78" s="378"/>
      <c r="U78" s="13"/>
    </row>
    <row r="79" spans="2:21" ht="12.95" customHeight="1">
      <c r="B79" s="4"/>
      <c r="G79" s="235"/>
      <c r="O79" s="40"/>
      <c r="P79" s="40"/>
      <c r="Q79" s="40"/>
      <c r="S79" s="3"/>
      <c r="T79" s="325"/>
      <c r="U79" s="4"/>
    </row>
    <row r="80" spans="2:21" ht="12.95" customHeight="1">
      <c r="B80" s="4"/>
      <c r="H80" s="4"/>
      <c r="T80" s="378"/>
      <c r="U80" s="13"/>
    </row>
    <row r="81" spans="1:21" ht="12.95" customHeight="1">
      <c r="A81" s="112"/>
      <c r="B81" s="4"/>
      <c r="H81" s="4"/>
      <c r="T81" s="378"/>
      <c r="U81" s="4"/>
    </row>
    <row r="82" spans="1:21" ht="12.95" customHeight="1">
      <c r="A82" s="13"/>
      <c r="B82" s="4"/>
      <c r="G82" s="235"/>
      <c r="O82" s="40"/>
      <c r="P82" s="40"/>
      <c r="Q82" s="40"/>
      <c r="S82" s="3"/>
      <c r="T82" s="378"/>
      <c r="U82" s="4"/>
    </row>
    <row r="83" spans="1:21" ht="12.95" customHeight="1">
      <c r="A83" s="13"/>
      <c r="S83"/>
      <c r="U83" s="325"/>
    </row>
    <row r="84" spans="1:21" ht="12.95" customHeight="1">
      <c r="A84" s="112"/>
      <c r="B84" s="4"/>
      <c r="H84" s="4"/>
      <c r="U84" s="13"/>
    </row>
    <row r="85" spans="1:21" ht="12.95" customHeight="1">
      <c r="A85" s="13"/>
      <c r="B85" s="1"/>
      <c r="C85" s="1"/>
      <c r="G85" s="235"/>
      <c r="O85" s="40"/>
      <c r="P85" s="40"/>
      <c r="Q85" s="40"/>
      <c r="S85" s="3"/>
      <c r="T85" s="325"/>
      <c r="U85" s="4"/>
    </row>
    <row r="86" spans="1:21" ht="12.95" customHeight="1">
      <c r="A86" s="13"/>
      <c r="B86" s="4"/>
      <c r="G86" s="235"/>
      <c r="O86" s="40"/>
      <c r="P86" s="40"/>
      <c r="Q86" s="40"/>
      <c r="S86" s="3"/>
      <c r="T86" s="13"/>
      <c r="U86" s="13"/>
    </row>
    <row r="87" spans="1:21" ht="12.95" customHeight="1">
      <c r="A87" s="13"/>
      <c r="B87" s="4"/>
      <c r="G87" s="235"/>
      <c r="O87" s="40"/>
      <c r="P87" s="40"/>
      <c r="Q87" s="40"/>
      <c r="S87" s="3"/>
      <c r="T87" s="13"/>
      <c r="U87" s="13"/>
    </row>
    <row r="88" spans="1:21" ht="12.95" customHeight="1">
      <c r="A88" s="13"/>
      <c r="B88" s="4"/>
      <c r="G88" s="235"/>
      <c r="O88" s="40"/>
      <c r="P88" s="40"/>
      <c r="Q88" s="40"/>
      <c r="S88" s="3"/>
      <c r="T88" s="13"/>
      <c r="U88" s="13"/>
    </row>
    <row r="89" spans="1:21" ht="12.95" customHeight="1">
      <c r="A89" s="13"/>
      <c r="B89" s="1"/>
      <c r="C89" s="1"/>
      <c r="G89" s="235"/>
      <c r="O89" s="40"/>
      <c r="P89" s="40"/>
      <c r="Q89" s="40"/>
      <c r="S89" s="3"/>
      <c r="T89" s="13"/>
      <c r="U89" s="4"/>
    </row>
    <row r="90" spans="1:21" ht="12.95" customHeight="1">
      <c r="A90" s="13"/>
      <c r="B90" s="4"/>
      <c r="G90" s="235"/>
      <c r="O90" s="40"/>
      <c r="P90" s="40"/>
      <c r="Q90" s="40"/>
      <c r="S90" s="3"/>
      <c r="T90" s="13"/>
      <c r="U90" s="4"/>
    </row>
    <row r="91" spans="1:21" ht="12.95" customHeight="1">
      <c r="A91" s="13"/>
      <c r="B91" s="4"/>
      <c r="T91" s="2"/>
      <c r="U91" s="13"/>
    </row>
    <row r="92" spans="1:21" ht="12.95" customHeight="1">
      <c r="A92" s="13"/>
      <c r="B92" s="4"/>
      <c r="F92" s="4"/>
      <c r="J92" s="60"/>
      <c r="O92" s="40"/>
      <c r="T92" s="2"/>
      <c r="U92" s="13"/>
    </row>
    <row r="93" spans="1:21" ht="12.95" customHeight="1">
      <c r="A93" s="112"/>
      <c r="B93" s="4"/>
      <c r="J93" s="60"/>
      <c r="O93" s="40"/>
      <c r="T93" s="2"/>
      <c r="U93" s="13"/>
    </row>
    <row r="94" spans="1:21" ht="12.95" customHeight="1">
      <c r="A94" s="112"/>
      <c r="B94" s="13"/>
      <c r="C94" s="13"/>
      <c r="D94" s="13"/>
      <c r="E94" s="13"/>
      <c r="F94" s="13"/>
      <c r="G94" s="13"/>
      <c r="H94" s="13"/>
      <c r="I94" s="13"/>
      <c r="J94" s="13"/>
      <c r="K94" s="13"/>
      <c r="L94" s="13"/>
      <c r="M94" s="13"/>
      <c r="N94" s="13"/>
      <c r="O94" s="13"/>
      <c r="P94" s="201"/>
      <c r="Q94" s="202"/>
      <c r="R94" s="201"/>
      <c r="S94" s="202"/>
      <c r="T94" s="201"/>
      <c r="U94" s="13"/>
    </row>
    <row r="95" spans="1:21" ht="12.95" customHeight="1">
      <c r="A95" s="112"/>
      <c r="B95" s="13"/>
      <c r="C95" s="1"/>
      <c r="G95" s="235"/>
      <c r="O95" s="40"/>
      <c r="P95" s="40"/>
      <c r="Q95" s="40"/>
      <c r="S95" s="3"/>
      <c r="T95" s="23"/>
      <c r="U95" s="4"/>
    </row>
    <row r="96" spans="1:21" ht="12.95" customHeight="1">
      <c r="A96" s="13"/>
      <c r="B96" s="13"/>
      <c r="C96" s="13"/>
      <c r="D96" s="13"/>
      <c r="E96" s="13"/>
      <c r="F96" s="13"/>
      <c r="G96" s="13"/>
      <c r="H96" s="13"/>
      <c r="I96" s="13"/>
      <c r="J96" s="13"/>
      <c r="K96" s="13"/>
      <c r="L96" s="13"/>
      <c r="M96" s="13"/>
      <c r="N96" s="13"/>
      <c r="O96" s="13"/>
      <c r="P96" s="13"/>
      <c r="Q96" s="13"/>
      <c r="R96" s="13"/>
      <c r="S96" s="13"/>
      <c r="T96" s="13"/>
      <c r="U96" s="13"/>
    </row>
    <row r="97" spans="1:21" ht="12.95" customHeight="1">
      <c r="A97" s="13"/>
      <c r="B97" s="13"/>
      <c r="C97" s="13"/>
      <c r="D97" s="13"/>
      <c r="E97" s="13"/>
      <c r="F97" s="13"/>
      <c r="G97" s="13"/>
      <c r="H97" s="13"/>
      <c r="I97" s="13"/>
      <c r="J97" s="13"/>
      <c r="K97" s="13"/>
      <c r="L97" s="13"/>
      <c r="M97" s="13"/>
      <c r="N97" s="13"/>
      <c r="O97" s="13"/>
      <c r="P97" s="13"/>
      <c r="Q97" s="13"/>
      <c r="R97" s="13"/>
      <c r="S97" s="13"/>
      <c r="T97" s="13"/>
      <c r="U97" s="13"/>
    </row>
    <row r="98" spans="1:21" ht="12.95" customHeight="1">
      <c r="A98" s="112"/>
      <c r="B98" s="13"/>
      <c r="C98" s="13"/>
      <c r="D98" s="13"/>
      <c r="E98" s="13"/>
      <c r="F98" s="13"/>
      <c r="G98" s="13"/>
      <c r="H98" s="13"/>
      <c r="I98" s="13"/>
      <c r="J98" s="13"/>
      <c r="K98" s="13"/>
      <c r="L98" s="13"/>
      <c r="M98" s="13"/>
      <c r="N98" s="13"/>
      <c r="O98" s="13"/>
      <c r="P98" s="13"/>
      <c r="Q98" s="13"/>
      <c r="R98" s="13"/>
      <c r="S98" s="13"/>
      <c r="T98" s="13"/>
      <c r="U98" s="13"/>
    </row>
    <row r="99" spans="1:21" ht="12.95" customHeight="1">
      <c r="A99" s="13"/>
      <c r="B99" s="13"/>
      <c r="C99" s="13"/>
      <c r="D99" s="13"/>
      <c r="E99" s="13"/>
      <c r="F99" s="13"/>
      <c r="G99" s="13"/>
      <c r="H99" s="13"/>
      <c r="I99" s="13"/>
      <c r="J99" s="13"/>
      <c r="K99" s="13"/>
      <c r="L99" s="13"/>
      <c r="M99" s="13"/>
      <c r="N99" s="13"/>
      <c r="O99" s="13"/>
      <c r="P99" s="13"/>
      <c r="Q99" s="13"/>
      <c r="R99" s="13"/>
      <c r="S99" s="13"/>
      <c r="T99" s="13"/>
      <c r="U99" s="13"/>
    </row>
    <row r="100" spans="1:21" ht="12.95" customHeight="1">
      <c r="A100" s="13"/>
      <c r="B100" s="13"/>
      <c r="C100" s="13"/>
      <c r="D100" s="13"/>
      <c r="E100" s="13"/>
      <c r="F100" s="13"/>
      <c r="G100" s="13"/>
      <c r="H100" s="13"/>
      <c r="I100" s="13"/>
      <c r="J100" s="13"/>
      <c r="K100" s="13"/>
      <c r="L100" s="13"/>
      <c r="M100" s="13"/>
      <c r="N100" s="13"/>
      <c r="O100" s="13"/>
      <c r="P100" s="13"/>
      <c r="Q100" s="13"/>
      <c r="R100" s="13"/>
      <c r="S100" s="13"/>
      <c r="T100" s="13"/>
      <c r="U100" s="13"/>
    </row>
    <row r="101" spans="1:21" ht="12.95" customHeight="1"/>
    <row r="102" spans="1:21" ht="12.95" customHeight="1"/>
    <row r="103" spans="1:21" ht="12.95" customHeight="1"/>
    <row r="104" spans="1:21" ht="12.95" customHeight="1"/>
    <row r="105" spans="1:21" ht="12.95" customHeight="1"/>
    <row r="106" spans="1:21" ht="12.95" customHeight="1"/>
    <row r="107" spans="1:21" ht="12.95" customHeight="1"/>
    <row r="108" spans="1:21" ht="12.95" customHeight="1"/>
    <row r="109" spans="1:21" ht="12.95" customHeight="1"/>
    <row r="110" spans="1:21" ht="12.95" customHeight="1"/>
    <row r="111" spans="1:21" ht="12.95" customHeight="1"/>
    <row r="112" spans="1:21" ht="12.95" customHeight="1"/>
    <row r="113" ht="12.95" customHeight="1"/>
    <row r="114" ht="12.95" customHeight="1"/>
    <row r="115" ht="12.95" customHeight="1"/>
    <row r="116" ht="12.95" customHeight="1"/>
    <row r="117" ht="12.95" customHeight="1"/>
    <row r="118" ht="12.95" customHeight="1"/>
    <row r="119" ht="12.95" customHeight="1"/>
    <row r="120" ht="12.95" customHeight="1"/>
    <row r="121" ht="12.95" customHeight="1"/>
    <row r="122" ht="12.95" customHeight="1"/>
    <row r="123" ht="12.95" customHeight="1"/>
    <row r="124" ht="12.95" customHeight="1"/>
    <row r="125" ht="12.95" customHeight="1"/>
    <row r="126" ht="12.95" customHeight="1"/>
    <row r="127" ht="12.95" customHeight="1"/>
    <row r="128" ht="12.95" customHeight="1"/>
    <row r="129" ht="12.95" customHeight="1"/>
    <row r="130" ht="12.95" customHeight="1"/>
    <row r="131" ht="12.95" customHeight="1"/>
    <row r="132" ht="12.95" customHeight="1"/>
    <row r="133" ht="12.95" customHeight="1"/>
    <row r="134" ht="12.95" customHeight="1"/>
    <row r="135" ht="12.95" customHeight="1"/>
    <row r="136" ht="12.95" customHeight="1"/>
    <row r="137" ht="12.95" customHeight="1"/>
    <row r="138" ht="12.95" customHeight="1"/>
    <row r="139" ht="12.95" customHeight="1"/>
    <row r="140" ht="12.95" customHeight="1"/>
    <row r="141" ht="12.95" customHeight="1"/>
    <row r="142" ht="12.95" customHeight="1"/>
    <row r="143" ht="12.95" customHeight="1"/>
    <row r="144" ht="12.95" customHeight="1"/>
    <row r="145" ht="12.95" customHeight="1"/>
    <row r="146" ht="12.95" customHeight="1"/>
    <row r="147" ht="12.95" customHeight="1"/>
    <row r="148" ht="12.95" customHeight="1"/>
    <row r="149" ht="12.95" customHeight="1"/>
    <row r="150" ht="12.95" customHeight="1"/>
    <row r="151" ht="12.95" customHeight="1"/>
    <row r="152" ht="12.95" customHeight="1"/>
    <row r="153" ht="12.95" customHeight="1"/>
    <row r="154" ht="12.95" customHeight="1"/>
    <row r="155" ht="12.95" customHeight="1"/>
    <row r="156" ht="12.95" customHeight="1"/>
    <row r="157" ht="12.95" customHeight="1"/>
    <row r="158" ht="12.95" customHeight="1"/>
    <row r="159" ht="12.95" customHeight="1"/>
    <row r="160" ht="12.95" customHeight="1"/>
    <row r="161" ht="12.95" customHeight="1"/>
    <row r="162" ht="12.95" customHeight="1"/>
    <row r="163" ht="12.95" customHeight="1"/>
    <row r="164" ht="12.95" customHeight="1"/>
    <row r="165" ht="12.95" customHeight="1"/>
    <row r="166" ht="12.95" customHeight="1"/>
    <row r="167" ht="12.95" customHeight="1"/>
    <row r="168" ht="12.95" customHeight="1"/>
    <row r="169" ht="12.95" customHeight="1"/>
    <row r="170" ht="12.95" customHeight="1"/>
    <row r="171" ht="12.95" customHeight="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sheetData>
  <sheetProtection password="CF42" sheet="1" selectLockedCells="1"/>
  <mergeCells count="3">
    <mergeCell ref="M4:N4"/>
    <mergeCell ref="P2:Q2"/>
    <mergeCell ref="O39:R39"/>
  </mergeCells>
  <phoneticPr fontId="0" type="noConversion"/>
  <hyperlinks>
    <hyperlink ref="B39" r:id="rId1" xr:uid="{00000000-0004-0000-0400-000000000000}"/>
    <hyperlink ref="O39" r:id="rId2" xr:uid="{00000000-0004-0000-0400-000001000000}"/>
  </hyperlinks>
  <pageMargins left="0.5" right="0.5" top="0.25" bottom="0.25" header="0.5" footer="0.5"/>
  <pageSetup orientation="portrait" horizontalDpi="360" verticalDpi="360" r:id="rId3"/>
  <headerFooter alignWithMargins="0"/>
  <colBreaks count="1" manualBreakCount="1">
    <brk id="20" max="5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173"/>
  <sheetViews>
    <sheetView showGridLines="0" showRowColHeaders="0" zoomScaleNormal="100" zoomScaleSheetLayoutView="75" workbookViewId="0"/>
  </sheetViews>
  <sheetFormatPr defaultRowHeight="12.75"/>
  <cols>
    <col min="1" max="1" width="3.5703125" style="3" customWidth="1"/>
    <col min="2" max="15" width="2.5703125" customWidth="1"/>
    <col min="16" max="16" width="15.5703125" customWidth="1"/>
    <col min="17" max="17" width="2.5703125" customWidth="1"/>
    <col min="18" max="18" width="15.5703125" customWidth="1"/>
    <col min="19" max="19" width="2.5703125" customWidth="1"/>
    <col min="20" max="20" width="18.5703125" customWidth="1"/>
    <col min="21" max="22" width="1.5703125" customWidth="1"/>
    <col min="23" max="23" width="5.5703125" style="16" customWidth="1"/>
  </cols>
  <sheetData>
    <row r="1" spans="1:23" ht="13.5" thickBot="1">
      <c r="A1" s="51"/>
    </row>
    <row r="2" spans="1:23" ht="18.75" thickBot="1">
      <c r="B2" s="81" t="s">
        <v>79</v>
      </c>
      <c r="C2" s="82"/>
      <c r="D2" s="82"/>
      <c r="E2" s="82"/>
      <c r="F2" s="82"/>
      <c r="G2" s="82"/>
      <c r="H2" s="82"/>
      <c r="I2" s="82"/>
      <c r="J2" s="82"/>
      <c r="K2" s="82"/>
      <c r="L2" s="82"/>
      <c r="M2" s="82"/>
      <c r="N2" s="82"/>
      <c r="O2" s="83"/>
      <c r="P2" s="83"/>
      <c r="Q2" s="83"/>
      <c r="R2" s="83"/>
      <c r="S2" s="84"/>
      <c r="T2" s="85"/>
    </row>
    <row r="3" spans="1:23">
      <c r="B3" s="41" t="str">
        <f>Overview!B21</f>
        <v>Email your completed questionnaire to:</v>
      </c>
      <c r="C3" s="7"/>
      <c r="D3" s="4"/>
      <c r="E3" s="4"/>
      <c r="F3" s="4"/>
      <c r="G3" s="4"/>
      <c r="H3" s="4"/>
      <c r="I3" s="4"/>
      <c r="J3" s="4"/>
      <c r="K3" s="4"/>
      <c r="L3" s="4"/>
      <c r="M3" s="4"/>
      <c r="N3" s="7"/>
      <c r="O3" s="7"/>
      <c r="P3" s="479" t="str">
        <f>Overview!P21</f>
        <v>surveys@BenchmarkingAnalytics.com</v>
      </c>
      <c r="Q3" s="479"/>
      <c r="R3" s="479"/>
      <c r="S3" s="4"/>
      <c r="T3" s="4"/>
    </row>
    <row r="4" spans="1:23">
      <c r="B4" s="4" t="s">
        <v>80</v>
      </c>
      <c r="C4" s="4"/>
      <c r="D4" s="4"/>
      <c r="E4" s="4"/>
      <c r="F4" s="4"/>
      <c r="G4" s="4"/>
      <c r="H4" s="4"/>
      <c r="I4" s="4"/>
      <c r="J4" s="4"/>
      <c r="K4" s="4"/>
      <c r="L4" s="4"/>
      <c r="M4" s="4"/>
      <c r="N4" s="4"/>
      <c r="O4" s="4"/>
      <c r="P4" s="4"/>
      <c r="Q4" s="4"/>
      <c r="R4" s="4"/>
      <c r="S4" s="4"/>
      <c r="T4" s="4"/>
    </row>
    <row r="5" spans="1:23" ht="13.5" thickBot="1">
      <c r="B5" s="4" t="s">
        <v>138</v>
      </c>
      <c r="C5" s="4"/>
      <c r="D5" s="4"/>
      <c r="E5" s="4"/>
      <c r="F5" s="4"/>
      <c r="G5" s="4"/>
      <c r="H5" s="4"/>
      <c r="I5" s="4"/>
      <c r="J5" s="4"/>
      <c r="K5" s="4"/>
      <c r="L5" s="4"/>
      <c r="M5" s="4"/>
      <c r="N5" s="4"/>
      <c r="O5" s="4"/>
      <c r="P5" s="4"/>
      <c r="Q5" s="4"/>
      <c r="R5" s="4"/>
      <c r="S5" s="4"/>
      <c r="T5" s="4"/>
    </row>
    <row r="6" spans="1:23" ht="12.75" customHeight="1">
      <c r="A6" s="22"/>
      <c r="B6" s="22"/>
      <c r="C6" s="22"/>
      <c r="D6" s="22"/>
      <c r="E6" s="22"/>
      <c r="F6" s="22"/>
      <c r="G6" s="22"/>
      <c r="H6" s="22"/>
      <c r="I6" s="22"/>
      <c r="J6" s="22"/>
      <c r="K6" s="22"/>
      <c r="L6" s="22"/>
      <c r="M6" s="22"/>
      <c r="N6" s="22"/>
      <c r="O6" s="22"/>
      <c r="P6" s="22"/>
      <c r="Q6" s="22"/>
      <c r="R6" s="22"/>
      <c r="S6" s="86"/>
      <c r="T6" s="26" t="str">
        <f>Overview!T1</f>
        <v>Survey Deadline</v>
      </c>
      <c r="U6" s="87"/>
      <c r="V6" s="22"/>
    </row>
    <row r="7" spans="1:23" ht="15" customHeight="1" thickBot="1">
      <c r="A7" s="88"/>
      <c r="B7" s="165" t="s">
        <v>171</v>
      </c>
      <c r="C7" s="22"/>
      <c r="D7" s="22"/>
      <c r="E7" s="22"/>
      <c r="F7" s="22"/>
      <c r="G7" s="22"/>
      <c r="H7" s="22"/>
      <c r="I7" s="22"/>
      <c r="J7" s="22"/>
      <c r="K7" s="22"/>
      <c r="L7" s="22"/>
      <c r="M7" s="22"/>
      <c r="N7" s="22"/>
      <c r="O7" s="22"/>
      <c r="P7" s="89" t="str">
        <f>Overview!P3</f>
        <v>CONFIDENTIAL</v>
      </c>
      <c r="Q7" s="22"/>
      <c r="R7" s="22"/>
      <c r="S7" s="86"/>
      <c r="T7" s="27">
        <f>Overview!T2</f>
        <v>45044</v>
      </c>
      <c r="U7" s="87"/>
      <c r="V7" s="22"/>
    </row>
    <row r="8" spans="1:23" ht="15" customHeight="1">
      <c r="A8" s="88"/>
      <c r="B8" s="22"/>
      <c r="C8" s="22"/>
      <c r="D8" s="22"/>
      <c r="E8" s="22"/>
      <c r="F8" s="22"/>
      <c r="G8" s="22"/>
      <c r="H8" s="22"/>
      <c r="I8" s="22"/>
      <c r="J8" s="22"/>
      <c r="K8" s="22"/>
      <c r="L8" s="480">
        <f>Yr</f>
        <v>2023</v>
      </c>
      <c r="M8" s="480"/>
      <c r="N8" s="480"/>
      <c r="O8" s="90" t="str">
        <f>Overview!O4</f>
        <v>Hershey Industry</v>
      </c>
      <c r="P8" s="22"/>
      <c r="Q8" s="22"/>
      <c r="R8" s="22"/>
      <c r="S8" s="91"/>
      <c r="T8" s="91"/>
      <c r="U8" s="22"/>
      <c r="V8" s="22"/>
    </row>
    <row r="9" spans="1:23" ht="15" customHeight="1">
      <c r="A9" s="88"/>
      <c r="B9" s="22"/>
      <c r="C9" s="22"/>
      <c r="D9" s="22"/>
      <c r="E9" s="22"/>
      <c r="F9" s="22"/>
      <c r="G9" s="22"/>
      <c r="H9" s="22"/>
      <c r="I9" s="22"/>
      <c r="J9" s="22"/>
      <c r="K9" s="22"/>
      <c r="L9" s="22"/>
      <c r="M9" s="22"/>
      <c r="N9" s="22"/>
      <c r="O9" s="59"/>
      <c r="P9" s="89" t="str">
        <f>Overview!P5</f>
        <v>Performance Analysis (HIPA) Survey</v>
      </c>
      <c r="Q9" s="22"/>
      <c r="R9" s="59"/>
      <c r="S9" s="22"/>
      <c r="T9" s="22"/>
      <c r="U9" s="22"/>
      <c r="V9" s="22"/>
    </row>
    <row r="10" spans="1:23" ht="6" customHeight="1" thickBot="1">
      <c r="B10" s="14"/>
      <c r="C10" s="14"/>
      <c r="D10" s="14"/>
      <c r="E10" s="14"/>
      <c r="F10" s="14"/>
      <c r="G10" s="14"/>
      <c r="H10" s="14"/>
      <c r="I10" s="14"/>
      <c r="J10" s="14"/>
      <c r="K10" s="14"/>
      <c r="L10" s="14"/>
      <c r="M10" s="14"/>
      <c r="N10" s="5"/>
      <c r="O10" s="5"/>
      <c r="P10" s="5"/>
      <c r="Q10" s="14"/>
      <c r="R10" s="5"/>
    </row>
    <row r="11" spans="1:23" ht="12.75" customHeight="1">
      <c r="A11" s="92"/>
      <c r="B11" s="93"/>
      <c r="C11" s="94"/>
      <c r="D11" s="94"/>
      <c r="E11" s="94"/>
      <c r="F11" s="94"/>
      <c r="G11" s="94"/>
      <c r="H11" s="94"/>
      <c r="I11" s="94"/>
      <c r="J11" s="94"/>
      <c r="K11" s="94"/>
      <c r="L11" s="94"/>
      <c r="M11" s="94"/>
      <c r="N11" s="95"/>
      <c r="O11" s="96"/>
      <c r="P11" s="96" t="str">
        <f>Overview!P9</f>
        <v>Your data will be treated confidentially by Benchmarking Analytics.</v>
      </c>
      <c r="Q11" s="95"/>
      <c r="R11" s="95"/>
      <c r="S11" s="94"/>
      <c r="T11" s="97"/>
      <c r="U11" s="98"/>
      <c r="V11" s="15"/>
    </row>
    <row r="12" spans="1:23" ht="12.75" customHeight="1">
      <c r="A12" s="92"/>
      <c r="B12" s="98"/>
      <c r="C12" s="15"/>
      <c r="D12" s="15"/>
      <c r="E12" s="15"/>
      <c r="F12" s="15"/>
      <c r="G12" s="15"/>
      <c r="H12" s="15"/>
      <c r="I12" s="15"/>
      <c r="J12" s="15"/>
      <c r="K12" s="15"/>
      <c r="L12" s="15"/>
      <c r="M12" s="15"/>
      <c r="O12" s="162"/>
      <c r="P12" s="6" t="str">
        <f>Overview!P10</f>
        <v>No one from CDA or its staff will have access to individual company data.</v>
      </c>
      <c r="S12" s="15"/>
      <c r="T12" s="163"/>
      <c r="U12" s="98"/>
      <c r="V12" s="15"/>
    </row>
    <row r="13" spans="1:23" ht="12.75" customHeight="1" thickBot="1">
      <c r="A13" s="92"/>
      <c r="B13" s="99"/>
      <c r="C13" s="80"/>
      <c r="D13" s="80"/>
      <c r="E13" s="80"/>
      <c r="F13" s="80"/>
      <c r="G13" s="80"/>
      <c r="H13" s="80"/>
      <c r="I13" s="80"/>
      <c r="J13" s="80"/>
      <c r="K13" s="80"/>
      <c r="L13" s="80"/>
      <c r="M13" s="80"/>
      <c r="N13" s="80"/>
      <c r="O13" s="100"/>
      <c r="P13" s="101" t="str">
        <f>Overview!P11</f>
        <v>Participant data will be aggregated in a way that prevents identification of any individual company.</v>
      </c>
      <c r="Q13" s="102"/>
      <c r="R13" s="80"/>
      <c r="S13" s="80"/>
      <c r="T13" s="103"/>
      <c r="U13" s="104"/>
      <c r="V13" s="4"/>
    </row>
    <row r="14" spans="1:23" ht="6" customHeight="1">
      <c r="B14" s="105"/>
      <c r="C14" s="6" t="s">
        <v>2</v>
      </c>
      <c r="N14" s="7"/>
      <c r="O14" s="7"/>
      <c r="P14" s="7"/>
      <c r="Q14" s="7"/>
      <c r="R14" s="7"/>
    </row>
    <row r="15" spans="1:23" ht="12.75" customHeight="1">
      <c r="B15" s="39" t="str">
        <f>Overview!B13</f>
        <v>INSTRUCTIONS</v>
      </c>
      <c r="C15" s="6"/>
      <c r="D15" s="15"/>
      <c r="E15" s="15"/>
      <c r="F15" s="15"/>
      <c r="G15" s="15"/>
      <c r="H15" s="15"/>
      <c r="I15" s="15"/>
      <c r="J15" s="15"/>
      <c r="K15" s="15"/>
      <c r="L15" s="15"/>
      <c r="M15" s="15"/>
      <c r="N15" s="6"/>
      <c r="O15" s="6"/>
      <c r="P15" s="6"/>
      <c r="Q15" s="6"/>
      <c r="R15" s="6"/>
      <c r="S15" s="15"/>
      <c r="T15" s="15"/>
      <c r="U15" s="15"/>
      <c r="V15" s="15"/>
    </row>
    <row r="16" spans="1:23" ht="12.75" customHeight="1">
      <c r="A16" s="21" t="str">
        <f>Overview!A14</f>
        <v>1.</v>
      </c>
      <c r="B16" s="15" t="str">
        <f>Overview!B14</f>
        <v xml:space="preserve">Enter the financial statement figures for your most recently completed fiscal year (12 months of data).  </v>
      </c>
      <c r="C16" s="6"/>
      <c r="D16" s="15"/>
      <c r="E16" s="15"/>
      <c r="F16" s="15"/>
      <c r="G16" s="15"/>
      <c r="H16" s="15"/>
      <c r="I16" s="15"/>
      <c r="J16" s="15"/>
      <c r="K16" s="15"/>
      <c r="L16" s="15"/>
      <c r="M16" s="15"/>
      <c r="N16" s="6"/>
      <c r="O16" s="6"/>
      <c r="P16" s="6"/>
      <c r="Q16" s="6"/>
      <c r="R16" s="6"/>
      <c r="S16" s="15"/>
      <c r="T16" s="15"/>
      <c r="U16" s="15"/>
      <c r="V16" s="15"/>
      <c r="W16" s="11"/>
    </row>
    <row r="17" spans="1:23" ht="12.75" customHeight="1">
      <c r="A17" s="21" t="s">
        <v>20</v>
      </c>
      <c r="B17" s="15" t="str">
        <f>Overview!B17</f>
        <v>As an option, you may submit a copy of your income statement and balance sheet (12 months of data)</v>
      </c>
      <c r="C17" s="6"/>
      <c r="D17" s="15"/>
      <c r="E17" s="15"/>
      <c r="F17" s="15"/>
      <c r="G17" s="15"/>
      <c r="H17" s="15"/>
      <c r="I17" s="15"/>
      <c r="J17" s="15"/>
      <c r="K17" s="15"/>
      <c r="L17" s="15"/>
      <c r="M17" s="15"/>
      <c r="N17" s="6"/>
      <c r="O17" s="6"/>
      <c r="P17" s="6"/>
      <c r="Q17" s="6"/>
      <c r="R17" s="6"/>
      <c r="S17" s="15"/>
      <c r="T17" s="15"/>
      <c r="U17" s="15"/>
      <c r="V17" s="15"/>
      <c r="W17" s="11"/>
    </row>
    <row r="18" spans="1:23" ht="12.75" customHeight="1">
      <c r="A18" s="21"/>
      <c r="B18" s="15" t="str">
        <f>Overview!B18</f>
        <v>instead of answering questions 21 and 23 on this questionnaire.</v>
      </c>
      <c r="C18" s="6"/>
      <c r="D18" s="15"/>
      <c r="E18" s="15"/>
      <c r="F18" s="15"/>
      <c r="G18" s="15"/>
      <c r="H18" s="15"/>
      <c r="I18" s="15"/>
      <c r="J18" s="15"/>
      <c r="K18" s="15"/>
      <c r="L18" s="15"/>
      <c r="M18" s="15"/>
      <c r="N18" s="6"/>
      <c r="O18" s="6"/>
      <c r="P18" s="6"/>
      <c r="Q18" s="6"/>
      <c r="R18" s="6"/>
      <c r="S18" s="15"/>
      <c r="T18" s="15"/>
      <c r="U18" s="15"/>
      <c r="V18" s="15"/>
      <c r="W18" s="11"/>
    </row>
    <row r="19" spans="1:23" ht="12.75" customHeight="1">
      <c r="A19" s="21" t="s">
        <v>21</v>
      </c>
      <c r="B19" s="15" t="str">
        <f>Overview!B19</f>
        <v>Feel free to estimate if necessary.  It is better to make an educated guess than to leave a field blank.</v>
      </c>
      <c r="C19" s="6"/>
      <c r="D19" s="15"/>
      <c r="E19" s="15"/>
      <c r="F19" s="15"/>
      <c r="G19" s="15"/>
      <c r="H19" s="15"/>
      <c r="I19" s="15"/>
      <c r="J19" s="15"/>
      <c r="K19" s="15"/>
      <c r="L19" s="15"/>
      <c r="M19" s="15"/>
      <c r="N19" s="6"/>
      <c r="O19" s="6"/>
      <c r="P19" s="6"/>
      <c r="Q19" s="6"/>
      <c r="R19" s="6"/>
      <c r="S19" s="15"/>
      <c r="T19" s="15"/>
      <c r="U19" s="15"/>
      <c r="V19" s="15"/>
      <c r="W19" s="11"/>
    </row>
    <row r="20" spans="1:23" ht="12.75" customHeight="1">
      <c r="A20" s="21" t="s">
        <v>22</v>
      </c>
      <c r="B20" s="15" t="str">
        <f>Overview!B20</f>
        <v>Questions regarding this survey?</v>
      </c>
      <c r="C20" s="6"/>
      <c r="D20" s="15"/>
      <c r="E20" s="15"/>
      <c r="F20" s="15"/>
      <c r="G20" s="15"/>
      <c r="H20" s="15"/>
      <c r="I20" s="15"/>
      <c r="J20" s="15"/>
      <c r="K20" s="15"/>
      <c r="L20" s="15"/>
      <c r="M20" s="106"/>
      <c r="N20" s="482" t="str">
        <f>Overview!M20</f>
        <v>tmackay@BenchmarkingAnalytics.com</v>
      </c>
      <c r="O20" s="482"/>
      <c r="P20" s="482"/>
      <c r="Q20" s="482"/>
      <c r="R20" s="482"/>
      <c r="S20" s="15"/>
      <c r="T20" s="15"/>
      <c r="U20" s="15"/>
      <c r="V20" s="15"/>
      <c r="W20" s="11"/>
    </row>
    <row r="21" spans="1:23" ht="12.75" customHeight="1">
      <c r="A21" s="21" t="s">
        <v>31</v>
      </c>
      <c r="B21" s="107" t="str">
        <f>Overview!B21</f>
        <v>Email your completed questionnaire to:</v>
      </c>
      <c r="C21" s="6"/>
      <c r="D21" s="15"/>
      <c r="E21" s="15"/>
      <c r="F21" s="15"/>
      <c r="G21" s="15"/>
      <c r="H21" s="15"/>
      <c r="I21" s="15"/>
      <c r="J21" s="15"/>
      <c r="K21" s="15"/>
      <c r="L21" s="15"/>
      <c r="M21" s="15"/>
      <c r="N21" s="6"/>
      <c r="O21" s="6"/>
      <c r="P21" s="483" t="str">
        <f>Overview!P21</f>
        <v>surveys@BenchmarkingAnalytics.com</v>
      </c>
      <c r="Q21" s="483"/>
      <c r="R21" s="483"/>
      <c r="S21" s="483"/>
      <c r="T21" s="15"/>
      <c r="U21" s="15"/>
      <c r="V21" s="15"/>
      <c r="W21" s="11"/>
    </row>
    <row r="22" spans="1:23" ht="12.75" customHeight="1">
      <c r="A22" s="21" t="s">
        <v>33</v>
      </c>
      <c r="B22" s="15" t="str">
        <f>Overview!B22</f>
        <v>If you would like a FREE individual Financial Benchmarking Report which compares your company's</v>
      </c>
      <c r="C22" s="6"/>
      <c r="D22" s="15"/>
      <c r="E22" s="15"/>
      <c r="F22" s="15"/>
      <c r="G22" s="15"/>
      <c r="H22" s="15"/>
      <c r="I22" s="15"/>
      <c r="J22" s="15"/>
      <c r="K22" s="15"/>
      <c r="L22" s="15"/>
      <c r="M22" s="15"/>
      <c r="N22" s="6"/>
      <c r="O22" s="6"/>
      <c r="P22" s="6"/>
      <c r="Q22" s="6"/>
      <c r="R22" s="6"/>
      <c r="S22" s="15"/>
      <c r="T22" s="15"/>
      <c r="U22" s="15"/>
      <c r="V22" s="15"/>
      <c r="W22" s="11"/>
    </row>
    <row r="23" spans="1:23" ht="12.75" customHeight="1">
      <c r="A23" s="21"/>
      <c r="B23" s="106" t="str">
        <f>Overview!B23</f>
        <v>performance to industry benchmarks, please complete the following:</v>
      </c>
      <c r="W23" s="11"/>
    </row>
    <row r="24" spans="1:23" ht="12.75" customHeight="1">
      <c r="C24" s="15"/>
      <c r="H24" s="15" t="str">
        <f>Overview!H24</f>
        <v>Name</v>
      </c>
      <c r="O24" s="15"/>
      <c r="P24" s="15" t="str">
        <f>IF(ISBLANK(Person),"________________________________________",Person)</f>
        <v>________________________________________</v>
      </c>
      <c r="Q24" s="15"/>
      <c r="R24" s="15"/>
      <c r="S24" s="15"/>
      <c r="T24" s="15"/>
      <c r="U24" s="15"/>
      <c r="V24" s="15"/>
    </row>
    <row r="25" spans="1:23" ht="12.75" customHeight="1">
      <c r="C25" s="15"/>
      <c r="H25" s="15" t="str">
        <f>Overview!H25</f>
        <v>Title</v>
      </c>
      <c r="O25" s="15"/>
      <c r="P25" s="15" t="str">
        <f>IF(ISBLANK(Title),"________________________________________",Title)</f>
        <v>________________________________________</v>
      </c>
      <c r="Q25" s="15"/>
      <c r="R25" s="15"/>
      <c r="S25" s="15"/>
      <c r="T25" s="15"/>
      <c r="U25" s="15"/>
      <c r="V25" s="15"/>
    </row>
    <row r="26" spans="1:23" ht="12.75" customHeight="1">
      <c r="C26" s="15"/>
      <c r="H26" s="15" t="str">
        <f>Overview!H26</f>
        <v>Company</v>
      </c>
      <c r="O26" s="15"/>
      <c r="P26" s="15" t="str">
        <f>IF(ISBLANK(Name),"________________________________________",Name)</f>
        <v>________________________________________</v>
      </c>
      <c r="Q26" s="15"/>
      <c r="R26" s="15"/>
      <c r="S26" s="15"/>
      <c r="T26" s="15"/>
      <c r="U26" s="15"/>
      <c r="V26" s="15"/>
    </row>
    <row r="27" spans="1:23" ht="12.75" customHeight="1">
      <c r="C27" s="15"/>
      <c r="H27" s="15" t="str">
        <f>Overview!H27</f>
        <v>Mailing Address</v>
      </c>
      <c r="O27" s="15"/>
      <c r="P27" s="15" t="str">
        <f>IF(ISBLANK(Addr1),"________________________________________",Addr1)</f>
        <v>________________________________________</v>
      </c>
      <c r="Q27" s="15"/>
      <c r="R27" s="15"/>
      <c r="S27" s="15"/>
      <c r="T27" s="15"/>
      <c r="U27" s="15"/>
      <c r="V27" s="15"/>
    </row>
    <row r="28" spans="1:23" ht="12.75" customHeight="1">
      <c r="C28" s="15"/>
      <c r="H28" s="15"/>
      <c r="O28" s="15"/>
      <c r="P28" s="15" t="str">
        <f>IF(ISBLANK(Addr2),"________________________________________",Addr2)</f>
        <v>________________________________________</v>
      </c>
      <c r="Q28" s="15"/>
      <c r="R28" s="15"/>
      <c r="S28" s="15"/>
      <c r="T28" s="15"/>
      <c r="U28" s="15"/>
      <c r="V28" s="15"/>
    </row>
    <row r="29" spans="1:23" ht="12.75" customHeight="1">
      <c r="C29" s="15"/>
      <c r="H29" s="15" t="str">
        <f>Overview!H29</f>
        <v>City</v>
      </c>
      <c r="O29" s="15"/>
      <c r="P29" s="15" t="str">
        <f>IF(ISBLANK(City),"________________________________________",City)</f>
        <v>________________________________________</v>
      </c>
      <c r="Q29" s="15"/>
      <c r="R29" s="15"/>
      <c r="S29" s="15"/>
      <c r="T29" s="15"/>
      <c r="U29" s="15"/>
      <c r="V29" s="15"/>
    </row>
    <row r="30" spans="1:23" ht="12.75" customHeight="1">
      <c r="C30" s="15"/>
      <c r="H30" s="15" t="str">
        <f>Overview!H30</f>
        <v>State</v>
      </c>
      <c r="O30" s="15"/>
      <c r="P30" s="15" t="str">
        <f>IF(ISBLANK(State),"________________________________________",State)</f>
        <v>________________________________________</v>
      </c>
      <c r="Q30" s="15"/>
      <c r="R30" s="15"/>
      <c r="S30" s="15"/>
      <c r="T30" s="15"/>
      <c r="U30" s="15"/>
      <c r="V30" s="15"/>
    </row>
    <row r="31" spans="1:23" ht="12.75" customHeight="1">
      <c r="C31" s="15"/>
      <c r="H31" s="15" t="str">
        <f>Overview!H31</f>
        <v>Zip Code</v>
      </c>
      <c r="O31" s="15"/>
      <c r="P31" s="108" t="str">
        <f>IF(ISBLANK(Zipcode),"________________________________________",Zipcode)</f>
        <v>________________________________________</v>
      </c>
      <c r="Q31" s="15"/>
      <c r="R31" s="15"/>
      <c r="S31" s="15"/>
      <c r="T31" s="15"/>
      <c r="U31" s="15"/>
      <c r="V31" s="15"/>
    </row>
    <row r="32" spans="1:23" ht="12.75" customHeight="1">
      <c r="C32" s="15"/>
      <c r="H32" s="15" t="str">
        <f>Overview!H32</f>
        <v>Telephone</v>
      </c>
      <c r="O32" s="15"/>
      <c r="P32" s="109" t="str">
        <f>IF(ISBLANK(Phone),"________________________________________",Phone)</f>
        <v>________________________________________</v>
      </c>
      <c r="Q32" s="15"/>
      <c r="R32" s="15"/>
      <c r="S32" s="15"/>
      <c r="T32" s="15"/>
      <c r="U32" s="15"/>
      <c r="V32" s="15"/>
    </row>
    <row r="33" spans="1:23" ht="12.75" customHeight="1">
      <c r="C33" s="15"/>
      <c r="H33" s="15" t="e">
        <f>Overview!#REF!</f>
        <v>#REF!</v>
      </c>
      <c r="O33" s="15"/>
      <c r="P33" s="109" t="str">
        <f>IF(ISBLANK(Fax),"________________________________________",Fax)</f>
        <v>b</v>
      </c>
      <c r="Q33" s="15"/>
      <c r="R33" s="15"/>
      <c r="S33" s="15"/>
      <c r="T33" s="15"/>
      <c r="U33" s="15"/>
      <c r="V33" s="15"/>
    </row>
    <row r="34" spans="1:23" ht="12.75" customHeight="1" thickBot="1">
      <c r="C34" s="15"/>
      <c r="H34" s="15" t="str">
        <f>Overview!H33</f>
        <v>Email Address</v>
      </c>
      <c r="O34" s="15"/>
      <c r="P34" s="15" t="str">
        <f>IF(ISBLANK(eaddr),"________________________________________",eaddr)</f>
        <v>________________________________________</v>
      </c>
      <c r="Q34" s="15"/>
      <c r="R34" s="15"/>
      <c r="S34" s="15"/>
      <c r="T34" s="15"/>
      <c r="U34" s="15"/>
      <c r="V34" s="15"/>
    </row>
    <row r="35" spans="1:23" ht="12.75" customHeight="1">
      <c r="A35" s="133"/>
      <c r="B35" s="164" t="str">
        <f>Operations!B1</f>
        <v>Operations</v>
      </c>
      <c r="C35" s="134"/>
      <c r="D35" s="134"/>
      <c r="E35" s="134"/>
      <c r="F35" s="134"/>
      <c r="G35" s="134"/>
      <c r="H35" s="134"/>
      <c r="I35" s="134"/>
      <c r="J35" s="134"/>
      <c r="K35" s="134"/>
      <c r="L35" s="134"/>
      <c r="M35" s="134"/>
      <c r="N35" s="135"/>
      <c r="O35" s="135"/>
      <c r="P35" s="135"/>
      <c r="Q35" s="135"/>
      <c r="R35" s="135"/>
      <c r="S35" s="134"/>
      <c r="T35" s="134"/>
      <c r="U35" s="134"/>
      <c r="V35" s="22"/>
    </row>
    <row r="36" spans="1:23" ht="6" customHeight="1">
      <c r="B36" s="39"/>
      <c r="C36" s="15"/>
      <c r="D36" s="15"/>
      <c r="E36" s="15"/>
      <c r="F36" s="15"/>
      <c r="G36" s="15"/>
      <c r="H36" s="15"/>
      <c r="I36" s="15"/>
      <c r="J36" s="15"/>
      <c r="K36" s="15"/>
      <c r="L36" s="15"/>
      <c r="M36" s="15"/>
      <c r="N36" s="15"/>
      <c r="O36" s="15"/>
      <c r="P36" s="15"/>
      <c r="Q36" s="15"/>
      <c r="R36" s="15"/>
      <c r="S36" s="15"/>
      <c r="T36" s="15"/>
      <c r="U36" s="15"/>
    </row>
    <row r="37" spans="1:23" ht="12.75" customHeight="1">
      <c r="A37" s="120">
        <f>Operations!A2</f>
        <v>0</v>
      </c>
      <c r="B37" s="34">
        <f>Operations!B2</f>
        <v>0</v>
      </c>
      <c r="C37" s="15"/>
      <c r="D37" s="15"/>
      <c r="E37" s="15"/>
      <c r="F37" s="15"/>
      <c r="G37" s="15"/>
      <c r="H37" s="15"/>
      <c r="I37" s="15"/>
      <c r="J37" s="15"/>
      <c r="K37" s="15"/>
      <c r="L37" s="15"/>
      <c r="M37" s="15"/>
      <c r="N37" s="15"/>
      <c r="O37" s="15"/>
      <c r="P37" s="15"/>
      <c r="Q37" s="15"/>
      <c r="R37" s="110" t="str">
        <f>IF(ISBLANK(Org),"_____________",Org)</f>
        <v>_____________</v>
      </c>
      <c r="S37" s="15"/>
      <c r="T37" s="15"/>
      <c r="U37" s="15"/>
    </row>
    <row r="38" spans="1:23" ht="6" customHeight="1">
      <c r="B38" s="39"/>
      <c r="C38" s="15"/>
      <c r="D38" s="15"/>
      <c r="E38" s="15"/>
      <c r="F38" s="15"/>
      <c r="G38" s="15"/>
      <c r="H38" s="15"/>
      <c r="I38" s="15"/>
      <c r="J38" s="15"/>
      <c r="K38" s="15"/>
      <c r="L38" s="15"/>
      <c r="M38" s="15"/>
      <c r="N38" s="15"/>
      <c r="O38" s="15"/>
      <c r="P38" s="15"/>
      <c r="Q38" s="15"/>
      <c r="R38" s="15"/>
      <c r="S38" s="15"/>
      <c r="T38" s="15"/>
      <c r="U38" s="15"/>
    </row>
    <row r="39" spans="1:23" ht="12.75" customHeight="1">
      <c r="A39" s="120" t="str">
        <f>Operations!A42</f>
        <v>11.</v>
      </c>
      <c r="B39" s="34" t="str">
        <f>Operations!B42</f>
        <v>Number of active customers — 6 or more orders annually</v>
      </c>
      <c r="C39" s="29"/>
      <c r="D39" s="29"/>
      <c r="E39" s="29"/>
      <c r="F39" s="29"/>
      <c r="G39" s="29"/>
      <c r="H39" s="29"/>
      <c r="I39" s="29"/>
      <c r="J39" s="29"/>
      <c r="K39" s="29"/>
      <c r="L39" s="29"/>
      <c r="M39" s="29"/>
      <c r="N39" s="29"/>
      <c r="O39" s="29"/>
      <c r="P39" s="29"/>
      <c r="Q39" s="29"/>
      <c r="R39" s="110"/>
      <c r="S39" s="29"/>
      <c r="T39" s="111"/>
      <c r="W39" s="15"/>
    </row>
    <row r="40" spans="1:23" ht="6" customHeight="1">
      <c r="A40" s="120"/>
      <c r="B40" s="34"/>
      <c r="C40" s="29"/>
      <c r="D40" s="29"/>
      <c r="E40" s="29"/>
      <c r="F40" s="29"/>
      <c r="G40" s="29"/>
      <c r="H40" s="29"/>
      <c r="I40" s="29"/>
      <c r="J40" s="29"/>
      <c r="K40" s="29"/>
      <c r="L40" s="29"/>
      <c r="M40" s="29"/>
      <c r="N40" s="29"/>
      <c r="O40" s="29"/>
      <c r="P40" s="29"/>
      <c r="Q40" s="29"/>
      <c r="R40" s="114"/>
      <c r="S40" s="29"/>
      <c r="T40" s="112"/>
      <c r="W40" s="45"/>
    </row>
    <row r="41" spans="1:23" ht="12.75" customHeight="1">
      <c r="A41" s="120">
        <f>Operations!A134</f>
        <v>0</v>
      </c>
      <c r="B41" s="34">
        <f>Operations!B134</f>
        <v>0</v>
      </c>
      <c r="C41" s="29"/>
      <c r="D41" s="29"/>
      <c r="E41" s="29"/>
      <c r="F41" s="29"/>
      <c r="G41" s="29"/>
      <c r="H41" s="29"/>
      <c r="I41" s="29"/>
      <c r="J41" s="47">
        <f>Operations!J134</f>
        <v>0</v>
      </c>
      <c r="K41" s="29"/>
      <c r="L41" s="29"/>
      <c r="M41" s="29"/>
      <c r="N41" s="29"/>
      <c r="O41" s="29"/>
      <c r="P41" s="29"/>
      <c r="Q41" s="29"/>
      <c r="R41" s="114"/>
      <c r="S41" s="29"/>
      <c r="W41" s="45"/>
    </row>
    <row r="42" spans="1:23" s="15" customFormat="1" ht="12.75" customHeight="1">
      <c r="A42" s="120"/>
      <c r="B42" s="29">
        <f>Operations!B135</f>
        <v>0</v>
      </c>
      <c r="C42" s="29"/>
      <c r="D42" s="29"/>
      <c r="E42" s="29"/>
      <c r="F42" s="29"/>
      <c r="G42" s="29"/>
      <c r="H42" s="29"/>
      <c r="I42" s="29"/>
      <c r="J42" s="29"/>
      <c r="K42" s="29"/>
      <c r="L42" s="29"/>
      <c r="M42" s="29"/>
      <c r="N42" s="29"/>
      <c r="O42" s="29"/>
      <c r="P42" s="29"/>
      <c r="Q42" s="29"/>
      <c r="R42" s="110" t="str">
        <f>IF(ISBLANK(IntParts),"_____________",IntParts)</f>
        <v>_____________</v>
      </c>
      <c r="S42" s="29"/>
      <c r="T42" s="30"/>
      <c r="W42" s="45"/>
    </row>
    <row r="43" spans="1:23" s="15" customFormat="1" ht="12.75" customHeight="1">
      <c r="A43" s="120"/>
      <c r="B43" s="29">
        <f>Operations!B136</f>
        <v>0</v>
      </c>
      <c r="C43" s="29"/>
      <c r="D43" s="29"/>
      <c r="E43" s="29"/>
      <c r="F43" s="29"/>
      <c r="G43" s="29"/>
      <c r="H43" s="29"/>
      <c r="I43" s="29"/>
      <c r="J43" s="29"/>
      <c r="K43" s="29"/>
      <c r="L43" s="29"/>
      <c r="M43" s="29"/>
      <c r="N43" s="29"/>
      <c r="O43" s="29"/>
      <c r="P43" s="29"/>
      <c r="Q43" s="29"/>
      <c r="R43" s="110" t="str">
        <f>IF(ISBLANK(IntSvc),"_____________",IntSvc)</f>
        <v>_____________</v>
      </c>
      <c r="S43" s="29"/>
      <c r="T43" s="111"/>
      <c r="W43" s="45"/>
    </row>
    <row r="44" spans="1:23" s="15" customFormat="1" ht="6" customHeight="1">
      <c r="A44" s="113"/>
      <c r="B44" s="29"/>
      <c r="C44" s="37"/>
      <c r="E44" s="37"/>
      <c r="F44" s="37"/>
      <c r="G44" s="37"/>
      <c r="H44" s="37"/>
      <c r="I44" s="37"/>
      <c r="J44" s="37"/>
      <c r="K44" s="37"/>
      <c r="L44" s="37"/>
      <c r="M44" s="37"/>
      <c r="N44" s="37"/>
      <c r="O44" s="37"/>
      <c r="P44" s="37"/>
      <c r="Q44" s="29"/>
      <c r="R44" s="47"/>
      <c r="S44" s="29"/>
      <c r="T44" s="30"/>
      <c r="W44" s="45"/>
    </row>
    <row r="45" spans="1:23" s="15" customFormat="1" ht="12.75" customHeight="1">
      <c r="A45" s="120">
        <f>Operations!A95</f>
        <v>0</v>
      </c>
      <c r="B45" s="34" t="str">
        <f>Operations!B8</f>
        <v>Number of FTE employees</v>
      </c>
      <c r="C45" s="29"/>
      <c r="D45" s="29"/>
      <c r="E45" s="29"/>
      <c r="F45" s="29"/>
      <c r="G45" s="29"/>
      <c r="H45" s="29"/>
      <c r="I45" s="29"/>
      <c r="J45" s="29"/>
      <c r="K45" s="29"/>
      <c r="L45" s="29"/>
      <c r="M45" s="29"/>
      <c r="N45" s="29"/>
      <c r="O45" s="29"/>
      <c r="P45" s="29"/>
      <c r="Q45" s="29"/>
      <c r="R45" s="47"/>
      <c r="S45" s="29"/>
      <c r="T45" s="30"/>
      <c r="W45" s="45"/>
    </row>
    <row r="46" spans="1:23" s="15" customFormat="1" ht="12.75" customHeight="1">
      <c r="A46" s="28"/>
      <c r="B46" s="29" t="str">
        <f>Operations!B22</f>
        <v>Executives/management staff</v>
      </c>
      <c r="C46" s="29"/>
      <c r="D46" s="29"/>
      <c r="E46" s="29"/>
      <c r="F46" s="29"/>
      <c r="G46" s="29"/>
      <c r="H46" s="29"/>
      <c r="I46" s="29"/>
      <c r="J46" s="29"/>
      <c r="K46" s="29"/>
      <c r="L46" s="29"/>
      <c r="M46" s="29"/>
      <c r="N46" s="29"/>
      <c r="O46" s="29"/>
      <c r="P46" s="29"/>
      <c r="Q46" s="29"/>
      <c r="R46" s="114" t="str">
        <f>IF(ISBLANK(EMP_Exec),"_____________",EMP_Exec)</f>
        <v>_____________</v>
      </c>
      <c r="S46" s="44"/>
      <c r="T46" s="44"/>
      <c r="U46" s="44"/>
      <c r="W46" s="115"/>
    </row>
    <row r="47" spans="1:23" s="15" customFormat="1" ht="12.75" customHeight="1">
      <c r="A47" s="28"/>
      <c r="B47" s="29" t="str">
        <f>Operations!B10</f>
        <v>Sales Representatives</v>
      </c>
      <c r="C47" s="29"/>
      <c r="D47" s="29"/>
      <c r="E47" s="29"/>
      <c r="F47" s="29"/>
      <c r="G47" s="29"/>
      <c r="H47" s="29"/>
      <c r="I47" s="29"/>
      <c r="J47" s="29"/>
      <c r="K47" s="29"/>
      <c r="L47" s="29"/>
      <c r="M47" s="29"/>
      <c r="N47" s="29"/>
      <c r="O47" s="29"/>
      <c r="P47" s="29"/>
      <c r="Q47" s="29"/>
      <c r="R47" s="114" t="str">
        <f>IF(ISBLANK(EMP_Out),"_____________",EMP_Out)</f>
        <v>_____________</v>
      </c>
      <c r="S47" s="44"/>
      <c r="T47" s="44"/>
      <c r="U47" s="116"/>
      <c r="W47" s="117"/>
    </row>
    <row r="48" spans="1:23" s="15" customFormat="1" ht="12.75" customHeight="1">
      <c r="A48" s="28"/>
      <c r="B48" s="29" t="str">
        <f>Operations!B11</f>
        <v>Telemarketing Representatives</v>
      </c>
      <c r="C48" s="29"/>
      <c r="D48" s="29"/>
      <c r="E48" s="29"/>
      <c r="F48" s="29"/>
      <c r="G48" s="29"/>
      <c r="H48" s="29"/>
      <c r="I48" s="29"/>
      <c r="J48" s="29"/>
      <c r="K48" s="29"/>
      <c r="L48" s="29"/>
      <c r="M48" s="29"/>
      <c r="N48" s="29"/>
      <c r="O48" s="29"/>
      <c r="P48" s="29"/>
      <c r="Q48" s="29"/>
      <c r="R48" s="114" t="str">
        <f>IF(ISBLANK(EMP_Inside),"_____________",EMP_Inside)</f>
        <v>_____________</v>
      </c>
      <c r="S48" s="44"/>
      <c r="T48" s="44"/>
      <c r="U48" s="44"/>
      <c r="V48" s="31"/>
      <c r="W48" s="45"/>
    </row>
    <row r="49" spans="1:23" s="15" customFormat="1" ht="12.75" customHeight="1">
      <c r="A49" s="28"/>
      <c r="B49" s="29" t="e">
        <f>Operations!#REF!</f>
        <v>#REF!</v>
      </c>
      <c r="C49" s="29"/>
      <c r="D49" s="29"/>
      <c r="E49" s="29"/>
      <c r="F49" s="29"/>
      <c r="G49" s="29"/>
      <c r="H49" s="29"/>
      <c r="I49" s="29"/>
      <c r="J49" s="29"/>
      <c r="K49" s="29"/>
      <c r="L49" s="29"/>
      <c r="M49" s="29"/>
      <c r="N49" s="29"/>
      <c r="O49" s="29"/>
      <c r="P49" s="29"/>
      <c r="Q49" s="29"/>
      <c r="R49" s="114" t="e">
        <f>IF(ISBLANK(EMP_Rental),"_____________",EMP_Rental)</f>
        <v>#NAME?</v>
      </c>
      <c r="S49" s="44"/>
      <c r="T49" s="44"/>
      <c r="U49" s="44"/>
      <c r="V49" s="31"/>
      <c r="W49" s="45"/>
    </row>
    <row r="50" spans="1:23" s="15" customFormat="1" ht="12.75" customHeight="1">
      <c r="A50" s="28"/>
      <c r="B50" s="29" t="str">
        <f>Operations!B14</f>
        <v>Delivery/Driver Employees</v>
      </c>
      <c r="C50" s="29"/>
      <c r="D50" s="29"/>
      <c r="E50" s="29"/>
      <c r="F50" s="29"/>
      <c r="G50" s="29"/>
      <c r="H50" s="29"/>
      <c r="I50" s="29"/>
      <c r="J50" s="29"/>
      <c r="K50" s="29"/>
      <c r="L50" s="29"/>
      <c r="M50" s="29"/>
      <c r="N50" s="29"/>
      <c r="O50" s="29"/>
      <c r="P50" s="29"/>
      <c r="Q50" s="29"/>
      <c r="R50" s="114" t="str">
        <f>IF(ISBLANK(EMP_HR),"_____________",EMP_HR)</f>
        <v>_____________</v>
      </c>
      <c r="S50" s="44"/>
      <c r="T50" s="44"/>
      <c r="U50" s="44"/>
      <c r="V50" s="31"/>
      <c r="W50" s="45"/>
    </row>
    <row r="51" spans="1:23" s="15" customFormat="1" ht="12.75" customHeight="1">
      <c r="A51" s="28"/>
      <c r="B51" s="29" t="e">
        <f>Operations!#REF!</f>
        <v>#REF!</v>
      </c>
      <c r="C51" s="29"/>
      <c r="D51" s="29"/>
      <c r="E51" s="29"/>
      <c r="F51" s="29"/>
      <c r="G51" s="29"/>
      <c r="H51" s="29"/>
      <c r="I51" s="29"/>
      <c r="J51" s="29"/>
      <c r="K51" s="29"/>
      <c r="L51" s="29"/>
      <c r="M51" s="29"/>
      <c r="N51" s="29"/>
      <c r="O51" s="29"/>
      <c r="P51" s="29"/>
      <c r="Q51" s="29"/>
      <c r="R51" s="114" t="str">
        <f>IF(ISBLANK(EMP_Cust),"_____________",EMP_Cust)</f>
        <v>_____________</v>
      </c>
      <c r="S51" s="44"/>
      <c r="T51" s="44"/>
      <c r="U51" s="44"/>
      <c r="V51" s="31"/>
      <c r="W51" s="45"/>
    </row>
    <row r="52" spans="1:23" s="15" customFormat="1" ht="12.75" customHeight="1">
      <c r="A52" s="28"/>
      <c r="B52" s="29" t="e">
        <f>Operations!#REF!</f>
        <v>#REF!</v>
      </c>
      <c r="C52" s="29"/>
      <c r="D52" s="29"/>
      <c r="E52" s="29"/>
      <c r="F52" s="29"/>
      <c r="G52" s="29"/>
      <c r="H52" s="29"/>
      <c r="I52" s="29"/>
      <c r="J52" s="29"/>
      <c r="K52" s="29"/>
      <c r="L52" s="29"/>
      <c r="M52" s="29"/>
      <c r="N52" s="29"/>
      <c r="O52" s="29"/>
      <c r="P52" s="29"/>
      <c r="Q52" s="29"/>
      <c r="R52" s="114" t="str">
        <f>IF(ISBLANK(EMP_SVC),"_____________",EMP_SVC)</f>
        <v>_____________</v>
      </c>
      <c r="S52" s="44"/>
      <c r="T52" s="44"/>
      <c r="U52" s="44"/>
      <c r="V52" s="31"/>
      <c r="W52" s="45"/>
    </row>
    <row r="53" spans="1:23" s="15" customFormat="1" ht="12.75" customHeight="1">
      <c r="A53" s="28"/>
      <c r="B53" s="29" t="str">
        <f>Operations!B15</f>
        <v>Warehouse Employees</v>
      </c>
      <c r="C53" s="29"/>
      <c r="D53" s="29"/>
      <c r="E53" s="29"/>
      <c r="F53" s="29"/>
      <c r="G53" s="29"/>
      <c r="H53" s="29"/>
      <c r="I53" s="29"/>
      <c r="J53" s="29"/>
      <c r="K53" s="29"/>
      <c r="L53" s="29"/>
      <c r="M53" s="29"/>
      <c r="N53" s="29"/>
      <c r="O53" s="29"/>
      <c r="P53" s="29"/>
      <c r="Q53" s="29"/>
      <c r="R53" s="114" t="str">
        <f>IF(ISBLANK(EMP_WHS),"_____________",EMP_WHS)</f>
        <v>_____________</v>
      </c>
      <c r="S53" s="44"/>
      <c r="T53" s="44"/>
      <c r="U53" s="44"/>
      <c r="V53" s="31"/>
      <c r="W53" s="45"/>
    </row>
    <row r="54" spans="1:23" s="15" customFormat="1" ht="12.75" customHeight="1">
      <c r="A54" s="28"/>
      <c r="B54" s="29" t="str">
        <f>Operations!B16</f>
        <v>Purchasing</v>
      </c>
      <c r="C54" s="29"/>
      <c r="D54" s="29"/>
      <c r="E54" s="29"/>
      <c r="F54" s="29"/>
      <c r="G54" s="29"/>
      <c r="H54" s="29"/>
      <c r="I54" s="29"/>
      <c r="J54" s="29"/>
      <c r="K54" s="29"/>
      <c r="L54" s="29"/>
      <c r="M54" s="29"/>
      <c r="N54" s="29"/>
      <c r="O54" s="29"/>
      <c r="P54" s="29"/>
      <c r="Q54" s="29"/>
      <c r="R54" s="50" t="str">
        <f>IF(ISBLANK(Oemp),"_____________",Oemp)</f>
        <v>_____________</v>
      </c>
      <c r="S54" s="44"/>
      <c r="T54" s="44"/>
      <c r="U54" s="44"/>
      <c r="V54" s="31"/>
      <c r="W54" s="45"/>
    </row>
    <row r="55" spans="1:23" s="15" customFormat="1" ht="12.75" customHeight="1">
      <c r="A55" s="28"/>
      <c r="B55" s="29"/>
      <c r="C55" s="34" t="str">
        <f>Operations!C23</f>
        <v>Total number of FTE employees</v>
      </c>
      <c r="D55" s="29"/>
      <c r="E55" s="29"/>
      <c r="F55" s="29"/>
      <c r="G55" s="29"/>
      <c r="H55" s="29"/>
      <c r="I55" s="29"/>
      <c r="J55" s="29"/>
      <c r="K55" s="29"/>
      <c r="L55" s="29"/>
      <c r="M55" s="29"/>
      <c r="N55" s="29"/>
      <c r="O55" s="29"/>
      <c r="P55" s="29"/>
      <c r="Q55" s="29"/>
      <c r="R55" s="118" t="str">
        <f>IF((Emp&gt;0),Emp,"_____________")</f>
        <v>_____________</v>
      </c>
      <c r="S55" s="44"/>
      <c r="T55" s="44"/>
      <c r="U55" s="44"/>
      <c r="V55" s="31"/>
      <c r="W55" s="45"/>
    </row>
    <row r="56" spans="1:23" s="15" customFormat="1" ht="12.75" customHeight="1">
      <c r="A56" s="120"/>
      <c r="B56" s="34"/>
      <c r="C56" s="29"/>
      <c r="D56" s="29"/>
      <c r="E56" s="29"/>
      <c r="F56" s="29"/>
      <c r="G56" s="29"/>
      <c r="H56" s="29"/>
      <c r="I56" s="29"/>
      <c r="J56" s="29"/>
      <c r="K56" s="29"/>
      <c r="L56" s="29"/>
      <c r="M56" s="29"/>
      <c r="N56" s="29"/>
      <c r="O56" s="29"/>
      <c r="P56" s="29"/>
      <c r="Q56" s="29"/>
      <c r="R56" s="114"/>
      <c r="S56" s="44"/>
      <c r="T56" s="44"/>
      <c r="U56" s="44"/>
      <c r="V56" s="31"/>
      <c r="W56" s="45"/>
    </row>
    <row r="57" spans="1:23" s="15" customFormat="1" ht="12.75" customHeight="1">
      <c r="A57" s="120" t="str">
        <f>Operations!A32</f>
        <v>6.</v>
      </c>
      <c r="B57" s="34" t="str">
        <f>Operations!B32</f>
        <v>Average number of orders shipped per month</v>
      </c>
      <c r="C57" s="29"/>
      <c r="D57" s="29"/>
      <c r="E57" s="29"/>
      <c r="F57" s="29"/>
      <c r="G57" s="29"/>
      <c r="H57" s="29"/>
      <c r="I57" s="29"/>
      <c r="J57" s="29"/>
      <c r="K57" s="29"/>
      <c r="L57" s="29"/>
      <c r="M57" s="29"/>
      <c r="N57" s="29"/>
      <c r="O57" s="29"/>
      <c r="P57" s="29"/>
      <c r="Q57" s="29"/>
      <c r="R57" s="114"/>
      <c r="S57" s="44"/>
      <c r="T57" s="44"/>
      <c r="U57" s="44"/>
      <c r="V57" s="31"/>
      <c r="W57" s="45"/>
    </row>
    <row r="58" spans="1:23" s="15" customFormat="1" ht="12.75" customHeight="1">
      <c r="A58" s="120"/>
      <c r="B58" s="29" t="str">
        <f>Operations!B30</f>
        <v>Average number of shipments received per month</v>
      </c>
      <c r="C58" s="29"/>
      <c r="D58" s="29"/>
      <c r="E58" s="29"/>
      <c r="F58" s="29"/>
      <c r="G58" s="29"/>
      <c r="H58" s="29"/>
      <c r="I58" s="29"/>
      <c r="J58" s="29"/>
      <c r="K58" s="29"/>
      <c r="L58" s="29"/>
      <c r="M58" s="29"/>
      <c r="N58" s="29"/>
      <c r="O58" s="29"/>
      <c r="P58" s="29"/>
      <c r="Q58" s="29"/>
      <c r="R58" s="169" t="str">
        <f>IF(ISBLANK(PA_Exec),"_____________",PA_Exec)</f>
        <v>_____________</v>
      </c>
      <c r="S58" s="44"/>
      <c r="T58" s="44"/>
      <c r="U58" s="44"/>
      <c r="V58" s="31"/>
      <c r="W58" s="45"/>
    </row>
    <row r="59" spans="1:23" s="15" customFormat="1" ht="12.75" customHeight="1">
      <c r="A59" s="28"/>
      <c r="B59" s="29" t="e">
        <f>Operations!#REF!</f>
        <v>#REF!</v>
      </c>
      <c r="C59" s="29"/>
      <c r="D59" s="29"/>
      <c r="E59" s="29"/>
      <c r="F59" s="29"/>
      <c r="G59" s="29"/>
      <c r="H59" s="29"/>
      <c r="I59" s="29"/>
      <c r="J59" s="29"/>
      <c r="K59" s="29"/>
      <c r="L59" s="29"/>
      <c r="M59" s="29"/>
      <c r="N59" s="29"/>
      <c r="O59" s="29"/>
      <c r="P59" s="29"/>
      <c r="Q59" s="29"/>
      <c r="R59" s="169" t="str">
        <f>IF(ISBLANK(PA_Out),"_____________",PA_Out)</f>
        <v>_____________</v>
      </c>
      <c r="S59" s="44"/>
      <c r="T59" s="44"/>
      <c r="U59" s="44"/>
      <c r="V59" s="31"/>
      <c r="W59" s="45"/>
    </row>
    <row r="60" spans="1:23" s="15" customFormat="1" ht="12.75" customHeight="1">
      <c r="A60" s="28"/>
      <c r="B60" s="29" t="str">
        <f>Operations!B53</f>
        <v>Product Sales</v>
      </c>
      <c r="C60" s="29"/>
      <c r="D60" s="29"/>
      <c r="E60" s="29"/>
      <c r="F60" s="29"/>
      <c r="G60" s="29"/>
      <c r="H60" s="29"/>
      <c r="I60" s="29"/>
      <c r="J60" s="29"/>
      <c r="K60" s="29"/>
      <c r="L60" s="29"/>
      <c r="M60" s="29"/>
      <c r="N60" s="29"/>
      <c r="O60" s="29"/>
      <c r="P60" s="29"/>
      <c r="Q60" s="29"/>
      <c r="R60" s="169" t="str">
        <f>IF(ISBLANK(PA_Inside),"_____________",PA_Inside)</f>
        <v>_____________</v>
      </c>
      <c r="S60" s="44"/>
      <c r="T60" s="44"/>
      <c r="U60" s="44"/>
      <c r="V60" s="31"/>
      <c r="W60" s="45"/>
    </row>
    <row r="61" spans="1:23" s="15" customFormat="1" ht="12.75" customHeight="1">
      <c r="A61" s="28"/>
      <c r="B61" s="29" t="str">
        <f>Operations!B55</f>
        <v>Cigarettes</v>
      </c>
      <c r="C61" s="29"/>
      <c r="D61" s="29"/>
      <c r="E61" s="29"/>
      <c r="F61" s="29"/>
      <c r="G61" s="29"/>
      <c r="H61" s="29"/>
      <c r="I61" s="29"/>
      <c r="J61" s="29"/>
      <c r="K61" s="29"/>
      <c r="L61" s="29"/>
      <c r="M61" s="29"/>
      <c r="N61" s="29"/>
      <c r="O61" s="29"/>
      <c r="P61" s="29"/>
      <c r="Q61" s="29"/>
      <c r="R61" s="169" t="str">
        <f>IF(ISBLANK(PA_Rental),"_____________",PA_Rental)</f>
        <v>_____________</v>
      </c>
      <c r="S61" s="44"/>
      <c r="T61" s="44"/>
      <c r="U61" s="44"/>
      <c r="V61" s="31"/>
      <c r="W61" s="45"/>
    </row>
    <row r="62" spans="1:23" s="15" customFormat="1" ht="12.75" customHeight="1">
      <c r="A62" s="28"/>
      <c r="B62" s="29" t="str">
        <f>Operations!B56</f>
        <v>Tobacco &amp; Cigars</v>
      </c>
      <c r="C62" s="29"/>
      <c r="D62" s="29"/>
      <c r="E62" s="29"/>
      <c r="F62" s="29"/>
      <c r="G62" s="29"/>
      <c r="H62" s="29"/>
      <c r="I62" s="29"/>
      <c r="J62" s="29"/>
      <c r="K62" s="29"/>
      <c r="L62" s="29"/>
      <c r="M62" s="29"/>
      <c r="N62" s="29"/>
      <c r="O62" s="29"/>
      <c r="P62" s="29"/>
      <c r="Q62" s="29"/>
      <c r="R62" s="169" t="str">
        <f>IF(ISBLANK(PA_Admin),"_____________",PA_Admin)</f>
        <v>_____________</v>
      </c>
      <c r="S62" s="44"/>
      <c r="T62" s="44"/>
      <c r="U62" s="44"/>
      <c r="V62" s="31"/>
      <c r="W62" s="45"/>
    </row>
    <row r="63" spans="1:23" s="15" customFormat="1" ht="12.75" customHeight="1">
      <c r="A63" s="28"/>
      <c r="B63" s="29" t="str">
        <f>Operations!B57</f>
        <v>Candy</v>
      </c>
      <c r="C63" s="29"/>
      <c r="D63" s="29"/>
      <c r="E63" s="29"/>
      <c r="F63" s="29"/>
      <c r="G63" s="29"/>
      <c r="H63" s="29"/>
      <c r="I63" s="29"/>
      <c r="J63" s="29"/>
      <c r="K63" s="29"/>
      <c r="L63" s="29"/>
      <c r="M63" s="29"/>
      <c r="N63" s="29"/>
      <c r="O63" s="29"/>
      <c r="P63" s="29"/>
      <c r="Q63" s="29"/>
      <c r="R63" s="169" t="str">
        <f>IF(ISBLANK(PA_CustSvc),"_____________",PA_CustSvc)</f>
        <v>_____________</v>
      </c>
      <c r="S63" s="44"/>
      <c r="T63" s="44"/>
      <c r="U63" s="44"/>
      <c r="V63" s="31"/>
      <c r="W63" s="45"/>
    </row>
    <row r="64" spans="1:23" s="15" customFormat="1" ht="12.75" customHeight="1">
      <c r="A64" s="28"/>
      <c r="B64" s="29" t="str">
        <f>Operations!B58</f>
        <v>Foodservice Dry</v>
      </c>
      <c r="C64" s="29"/>
      <c r="D64" s="29"/>
      <c r="E64" s="29"/>
      <c r="F64" s="29"/>
      <c r="G64" s="29"/>
      <c r="H64" s="29"/>
      <c r="I64" s="29"/>
      <c r="J64" s="29"/>
      <c r="K64" s="29"/>
      <c r="L64" s="29"/>
      <c r="M64" s="29"/>
      <c r="N64" s="29"/>
      <c r="O64" s="29"/>
      <c r="P64" s="29"/>
      <c r="Q64" s="29"/>
      <c r="R64" s="169" t="e">
        <f>IF(ISBLANK(PA_SVC),"_____________",PA_SVC)</f>
        <v>#REF!</v>
      </c>
      <c r="S64" s="44"/>
      <c r="T64" s="44"/>
      <c r="U64" s="44"/>
      <c r="V64" s="31"/>
      <c r="W64" s="45"/>
    </row>
    <row r="65" spans="1:23" s="15" customFormat="1" ht="12.75" customHeight="1">
      <c r="A65" s="28"/>
      <c r="B65" s="29" t="str">
        <f>Operations!B61</f>
        <v>Grocery — including snacks</v>
      </c>
      <c r="C65" s="29"/>
      <c r="D65" s="29"/>
      <c r="E65" s="29"/>
      <c r="F65" s="29"/>
      <c r="G65" s="29"/>
      <c r="H65" s="29"/>
      <c r="I65" s="29"/>
      <c r="J65" s="29"/>
      <c r="K65" s="29"/>
      <c r="L65" s="29"/>
      <c r="M65" s="29"/>
      <c r="N65" s="29"/>
      <c r="O65" s="29"/>
      <c r="P65" s="29"/>
      <c r="Q65" s="29"/>
      <c r="R65" s="169" t="str">
        <f>IF(ISBLANK(PA_WHS),"_____________",PA_WHS)</f>
        <v>_____________</v>
      </c>
      <c r="S65" s="44"/>
      <c r="T65" s="44"/>
      <c r="U65" s="44"/>
      <c r="V65" s="31"/>
      <c r="W65" s="45"/>
    </row>
    <row r="66" spans="1:23" s="15" customFormat="1" ht="12.75" customHeight="1">
      <c r="A66" s="28"/>
      <c r="B66" s="29" t="str">
        <f>Operations!B62</f>
        <v>Health &amp; Beauty Care</v>
      </c>
      <c r="C66" s="29"/>
      <c r="D66" s="29"/>
      <c r="E66" s="29"/>
      <c r="F66" s="29"/>
      <c r="G66" s="29"/>
      <c r="H66" s="29"/>
      <c r="I66" s="29"/>
      <c r="J66" s="29"/>
      <c r="K66" s="29"/>
      <c r="L66" s="29"/>
      <c r="M66" s="29"/>
      <c r="N66" s="29"/>
      <c r="O66" s="29"/>
      <c r="P66" s="29"/>
      <c r="Q66" s="29"/>
      <c r="R66" s="197" t="str">
        <f>IF(ISBLANK(PA_OTH),"_____________",PA_OTH)</f>
        <v>_____________</v>
      </c>
      <c r="S66" s="44"/>
      <c r="T66" s="44"/>
      <c r="U66" s="44"/>
      <c r="V66" s="31"/>
      <c r="W66" s="45"/>
    </row>
    <row r="67" spans="1:23" s="15" customFormat="1" ht="12.75" customHeight="1">
      <c r="A67" s="28"/>
      <c r="B67" s="29"/>
      <c r="C67" s="34">
        <f>Operations!C63</f>
        <v>0</v>
      </c>
      <c r="D67" s="29"/>
      <c r="E67" s="29"/>
      <c r="F67" s="29"/>
      <c r="G67" s="29"/>
      <c r="H67" s="29"/>
      <c r="I67" s="29"/>
      <c r="J67" s="29"/>
      <c r="K67" s="29"/>
      <c r="L67" s="29"/>
      <c r="M67" s="29"/>
      <c r="N67" s="29"/>
      <c r="O67" s="29"/>
      <c r="P67" s="29"/>
      <c r="Q67" s="29"/>
      <c r="R67" s="198" t="str">
        <f>IF((SAL_TOT&gt;0),SAL_TOT,"_____________")</f>
        <v>_____________</v>
      </c>
      <c r="S67" s="44"/>
      <c r="T67" s="44"/>
      <c r="U67" s="44"/>
      <c r="V67" s="31"/>
      <c r="W67" s="45"/>
    </row>
    <row r="68" spans="1:23" s="15" customFormat="1" ht="12.75" customHeight="1">
      <c r="A68" s="28"/>
      <c r="S68" s="44"/>
      <c r="T68" s="44"/>
      <c r="U68" s="44"/>
      <c r="V68" s="31"/>
    </row>
    <row r="69" spans="1:23" s="15" customFormat="1" ht="12.75" customHeight="1">
      <c r="A69" s="28" t="str">
        <f>Operations!A34</f>
        <v>7.</v>
      </c>
      <c r="B69" s="34">
        <f>Operations!B138</f>
        <v>0</v>
      </c>
      <c r="C69" s="29"/>
      <c r="D69" s="29"/>
      <c r="E69" s="29"/>
      <c r="F69" s="29"/>
      <c r="G69" s="29"/>
      <c r="H69" s="29"/>
      <c r="I69" s="29"/>
      <c r="J69" s="29"/>
      <c r="K69" s="29"/>
      <c r="L69" s="29"/>
      <c r="M69" s="29"/>
      <c r="N69" s="29"/>
      <c r="O69" s="29"/>
      <c r="P69" s="29"/>
      <c r="Q69" s="29"/>
      <c r="R69" s="47"/>
      <c r="S69" s="29"/>
      <c r="V69" s="31"/>
      <c r="W69" s="45"/>
    </row>
    <row r="70" spans="1:23" s="15" customFormat="1" ht="12.75" customHeight="1">
      <c r="A70" s="28"/>
      <c r="B70" s="47">
        <f>Operations!B139</f>
        <v>0</v>
      </c>
      <c r="C70" s="29"/>
      <c r="D70" s="29"/>
      <c r="E70" s="29"/>
      <c r="F70" s="29"/>
      <c r="G70" s="29"/>
      <c r="H70" s="29"/>
      <c r="I70" s="29"/>
      <c r="J70" s="29"/>
      <c r="K70" s="29"/>
      <c r="L70" s="29"/>
      <c r="M70" s="29"/>
      <c r="N70" s="29"/>
      <c r="O70" s="29"/>
      <c r="P70" s="29"/>
      <c r="Q70" s="29"/>
      <c r="R70" s="114" t="str">
        <f>IF(ISBLANK(TechApplied),"_____________",TechApplied)</f>
        <v>_____________</v>
      </c>
      <c r="S70" s="13" t="str">
        <f>IF(ISBLANK(Operations!S139),"__________",Operations!S139)</f>
        <v>__________</v>
      </c>
      <c r="V70" s="31"/>
      <c r="W70" s="45"/>
    </row>
    <row r="71" spans="1:23" s="15" customFormat="1" ht="12.75" customHeight="1">
      <c r="A71" s="28"/>
      <c r="B71" s="47">
        <f>Operations!B140</f>
        <v>0</v>
      </c>
      <c r="C71" s="29"/>
      <c r="D71" s="29"/>
      <c r="E71" s="29"/>
      <c r="F71" s="29"/>
      <c r="G71" s="29"/>
      <c r="H71" s="29"/>
      <c r="I71" s="29"/>
      <c r="J71" s="29"/>
      <c r="K71" s="29"/>
      <c r="L71" s="29"/>
      <c r="M71" s="29"/>
      <c r="N71" s="29"/>
      <c r="O71" s="29"/>
      <c r="P71" s="29"/>
      <c r="Q71" s="29"/>
      <c r="R71" s="114" t="str">
        <f>IF(ISBLANK(TechBilled),"_____________",TechBilled)</f>
        <v>_____________</v>
      </c>
      <c r="S71" s="13" t="str">
        <f>IF(ISBLANK(Operations!S140),"__________",Operations!S140)</f>
        <v>__________</v>
      </c>
      <c r="V71" s="31"/>
      <c r="W71" s="115"/>
    </row>
    <row r="72" spans="1:23" s="15" customFormat="1" ht="12.75" customHeight="1">
      <c r="A72" s="28"/>
      <c r="B72" s="47">
        <f>Operations!B142</f>
        <v>0</v>
      </c>
      <c r="C72" s="29"/>
      <c r="D72" s="29"/>
      <c r="E72" s="29"/>
      <c r="F72" s="29"/>
      <c r="G72" s="29"/>
      <c r="H72" s="29"/>
      <c r="I72" s="29"/>
      <c r="J72" s="29"/>
      <c r="K72" s="29"/>
      <c r="L72" s="29"/>
      <c r="M72" s="29"/>
      <c r="N72" s="29"/>
      <c r="O72" s="29"/>
      <c r="P72" s="29"/>
      <c r="Q72" s="29"/>
      <c r="R72" s="114" t="str">
        <f>IF(ISBLANK(TechPaid),"_____________",TechPaid)</f>
        <v>_____________</v>
      </c>
      <c r="S72" s="37">
        <f>Operations!S142</f>
        <v>0</v>
      </c>
      <c r="W72" s="45"/>
    </row>
    <row r="73" spans="1:23" s="15" customFormat="1" ht="6" customHeight="1">
      <c r="A73" s="28"/>
      <c r="B73" s="29"/>
      <c r="C73" s="29"/>
      <c r="D73" s="29"/>
      <c r="E73" s="29"/>
      <c r="F73" s="29"/>
      <c r="G73" s="29"/>
      <c r="H73" s="29"/>
      <c r="I73" s="29"/>
      <c r="J73" s="29"/>
      <c r="K73" s="29"/>
      <c r="L73" s="29"/>
      <c r="M73" s="29"/>
      <c r="O73" s="29"/>
      <c r="P73" s="29"/>
      <c r="Q73" s="29"/>
      <c r="R73" s="114"/>
      <c r="V73" s="31"/>
      <c r="W73" s="115"/>
    </row>
    <row r="74" spans="1:23" s="15" customFormat="1" ht="12.75" customHeight="1">
      <c r="A74" s="28" t="str">
        <f>Operations!A30</f>
        <v>5.</v>
      </c>
      <c r="B74" s="34">
        <f>Operations!B145</f>
        <v>0</v>
      </c>
      <c r="C74" s="29"/>
      <c r="D74" s="29"/>
      <c r="E74" s="29"/>
      <c r="F74" s="29"/>
      <c r="G74" s="29"/>
      <c r="H74" s="29"/>
      <c r="I74" s="29"/>
      <c r="J74" s="29"/>
      <c r="K74" s="29"/>
      <c r="L74" s="29"/>
      <c r="M74" s="29"/>
      <c r="O74" s="29"/>
      <c r="P74" s="29"/>
      <c r="Q74" s="29"/>
      <c r="R74" s="114"/>
      <c r="V74" s="31"/>
      <c r="W74" s="45"/>
    </row>
    <row r="75" spans="1:23" s="15" customFormat="1" ht="12.75" customHeight="1">
      <c r="A75" s="28"/>
      <c r="B75" s="29">
        <f>Operations!B146</f>
        <v>0</v>
      </c>
      <c r="C75" s="29"/>
      <c r="D75" s="29"/>
      <c r="E75" s="29"/>
      <c r="F75" s="29"/>
      <c r="G75" s="29"/>
      <c r="H75" s="29"/>
      <c r="I75" s="29"/>
      <c r="J75" s="29"/>
      <c r="K75" s="29"/>
      <c r="L75" s="29"/>
      <c r="M75" s="29"/>
      <c r="O75" s="29"/>
      <c r="P75" s="29"/>
      <c r="Q75" s="29"/>
      <c r="R75" s="114" t="str">
        <f>IF(ISBLANK(SvcCalls),"_____________",SvcCalls)</f>
        <v>_____________</v>
      </c>
      <c r="S75" s="31"/>
      <c r="V75" s="31"/>
      <c r="W75" s="45"/>
    </row>
    <row r="76" spans="1:23" s="15" customFormat="1" ht="12.75" customHeight="1">
      <c r="A76" s="28"/>
      <c r="B76" s="29">
        <f>Operations!B147</f>
        <v>0</v>
      </c>
      <c r="C76" s="29"/>
      <c r="D76" s="29"/>
      <c r="E76" s="29"/>
      <c r="F76" s="29"/>
      <c r="G76" s="29"/>
      <c r="H76" s="29"/>
      <c r="I76" s="29"/>
      <c r="J76" s="29"/>
      <c r="K76" s="29"/>
      <c r="L76" s="29"/>
      <c r="M76" s="29"/>
      <c r="O76" s="29"/>
      <c r="P76" s="29"/>
      <c r="Q76" s="29"/>
      <c r="R76" s="114" t="str">
        <f>IF(ISBLANK(SvcVeh_),"_____________",SvcVeh_)</f>
        <v>_____________</v>
      </c>
      <c r="S76" s="31"/>
      <c r="V76" s="31"/>
      <c r="W76" s="45"/>
    </row>
    <row r="77" spans="1:23" s="15" customFormat="1" ht="12.75" customHeight="1">
      <c r="A77" s="28"/>
      <c r="B77" s="29">
        <f>Operations!B148</f>
        <v>0</v>
      </c>
      <c r="C77" s="29"/>
      <c r="D77" s="29"/>
      <c r="E77" s="29"/>
      <c r="F77" s="29"/>
      <c r="G77" s="29"/>
      <c r="H77" s="29"/>
      <c r="I77" s="29"/>
      <c r="J77" s="29"/>
      <c r="K77" s="29"/>
      <c r="L77" s="29"/>
      <c r="M77" s="29"/>
      <c r="O77" s="29"/>
      <c r="P77" s="29"/>
      <c r="Q77" s="29"/>
      <c r="R77" s="114" t="str">
        <f>IF(ISBLANK(SvcRecover),"_____________",SvcRecover)</f>
        <v>_____________</v>
      </c>
      <c r="S77" s="31"/>
      <c r="V77" s="31"/>
      <c r="W77" s="45"/>
    </row>
    <row r="78" spans="1:23" s="15" customFormat="1" ht="12.75" customHeight="1">
      <c r="A78" s="28"/>
      <c r="B78" s="29">
        <f>Operations!B149</f>
        <v>0</v>
      </c>
      <c r="C78" s="29"/>
      <c r="D78" s="29"/>
      <c r="E78" s="29"/>
      <c r="F78" s="29"/>
      <c r="G78" s="29"/>
      <c r="H78" s="29"/>
      <c r="I78" s="29"/>
      <c r="J78" s="29"/>
      <c r="K78" s="29"/>
      <c r="L78" s="29"/>
      <c r="M78" s="29"/>
      <c r="O78" s="29"/>
      <c r="P78" s="29"/>
      <c r="Q78" s="29"/>
      <c r="R78" s="114" t="str">
        <f>IF(ISBLANK(SvcJobs),"_____________",SvcJobs)</f>
        <v>_____________</v>
      </c>
      <c r="S78" s="31"/>
      <c r="V78" s="31"/>
      <c r="W78" s="45"/>
    </row>
    <row r="79" spans="1:23" s="15" customFormat="1" ht="12.75" customHeight="1">
      <c r="A79" s="28"/>
      <c r="B79" s="29"/>
      <c r="C79" s="34"/>
      <c r="D79" s="29"/>
      <c r="E79" s="29"/>
      <c r="F79" s="29"/>
      <c r="G79" s="29"/>
      <c r="H79" s="29"/>
      <c r="I79" s="29"/>
      <c r="J79" s="29"/>
      <c r="K79" s="29"/>
      <c r="L79" s="29"/>
      <c r="M79" s="29"/>
      <c r="N79" s="29"/>
      <c r="O79" s="29"/>
      <c r="P79" s="29"/>
      <c r="Q79" s="29"/>
      <c r="R79" s="118"/>
      <c r="S79" s="112"/>
      <c r="V79" s="31"/>
      <c r="W79" s="115"/>
    </row>
    <row r="80" spans="1:23" s="15" customFormat="1" ht="12.75" customHeight="1">
      <c r="A80" s="28" t="str">
        <f>Operations!A53</f>
        <v>15.</v>
      </c>
      <c r="B80" s="34">
        <f>Operations!B151</f>
        <v>0</v>
      </c>
      <c r="C80" s="29"/>
      <c r="D80" s="29"/>
      <c r="E80" s="29"/>
      <c r="F80" s="29"/>
      <c r="G80" s="29"/>
      <c r="H80" s="29"/>
      <c r="I80" s="29"/>
      <c r="J80" s="29"/>
      <c r="K80" s="29"/>
      <c r="L80" s="29"/>
      <c r="M80" s="29"/>
      <c r="N80" s="29"/>
      <c r="O80" s="29"/>
      <c r="P80" s="29"/>
      <c r="Q80" s="29"/>
      <c r="R80" s="29"/>
      <c r="S80" s="29"/>
      <c r="U80" s="45"/>
      <c r="V80" s="31"/>
      <c r="W80" s="119"/>
    </row>
    <row r="81" spans="1:23" s="15" customFormat="1" ht="12.75" customHeight="1">
      <c r="A81" s="28"/>
      <c r="B81" s="29">
        <f>Operations!B152</f>
        <v>0</v>
      </c>
      <c r="C81" s="29"/>
      <c r="D81" s="29"/>
      <c r="E81" s="29"/>
      <c r="F81" s="29"/>
      <c r="G81" s="29"/>
      <c r="H81" s="29"/>
      <c r="I81" s="29"/>
      <c r="J81" s="29"/>
      <c r="K81" s="29"/>
      <c r="L81" s="29"/>
      <c r="M81" s="29"/>
      <c r="N81" s="29"/>
      <c r="O81" s="29"/>
      <c r="P81" s="29"/>
      <c r="Q81" s="29"/>
      <c r="R81" s="114" t="str">
        <f>IF(ISBLANK(STunits),"_____________",STunits)</f>
        <v>_____________</v>
      </c>
      <c r="S81" s="31" t="s">
        <v>149</v>
      </c>
      <c r="V81" s="31"/>
      <c r="W81" s="119"/>
    </row>
    <row r="82" spans="1:23" s="15" customFormat="1" ht="12.75" customHeight="1">
      <c r="A82" s="28"/>
      <c r="B82" s="29">
        <f>Operations!B153</f>
        <v>0</v>
      </c>
      <c r="C82" s="29"/>
      <c r="D82" s="29"/>
      <c r="E82" s="29"/>
      <c r="F82" s="29"/>
      <c r="G82" s="29"/>
      <c r="H82" s="29"/>
      <c r="I82" s="29"/>
      <c r="J82" s="29"/>
      <c r="K82" s="29"/>
      <c r="L82" s="29"/>
      <c r="M82" s="29"/>
      <c r="N82" s="29"/>
      <c r="O82" s="29"/>
      <c r="P82" s="29"/>
      <c r="Q82" s="29"/>
      <c r="R82" s="169" t="str">
        <f>IF(ISBLANK(STvalue),"_____________",STvalue)</f>
        <v>_____________</v>
      </c>
      <c r="S82" s="31"/>
      <c r="V82" s="30"/>
      <c r="W82" s="119"/>
    </row>
    <row r="83" spans="1:23" s="15" customFormat="1" ht="12.75" customHeight="1">
      <c r="A83" s="28"/>
      <c r="B83" s="29">
        <f>Operations!B154</f>
        <v>0</v>
      </c>
      <c r="C83" s="29"/>
      <c r="D83" s="29"/>
      <c r="E83" s="29"/>
      <c r="F83" s="29"/>
      <c r="G83" s="29"/>
      <c r="H83" s="29"/>
      <c r="I83" s="29"/>
      <c r="J83" s="29"/>
      <c r="K83" s="29"/>
      <c r="L83" s="29"/>
      <c r="M83" s="29"/>
      <c r="N83" s="29"/>
      <c r="O83" s="29"/>
      <c r="P83" s="29"/>
      <c r="Q83" s="29"/>
      <c r="R83" s="114" t="str">
        <f>IF(ISBLANK(STutil),"_____________",STutil)</f>
        <v>_____________</v>
      </c>
      <c r="S83" s="45" t="s">
        <v>3</v>
      </c>
      <c r="V83" s="31"/>
      <c r="W83" s="119"/>
    </row>
    <row r="84" spans="1:23" s="15" customFormat="1" ht="12.75" customHeight="1">
      <c r="V84" s="30"/>
      <c r="W84" s="117"/>
    </row>
    <row r="85" spans="1:23" ht="15" customHeight="1">
      <c r="A85" s="28" t="str">
        <f>'Balance Sheet'!A9</f>
        <v>18.</v>
      </c>
      <c r="B85" s="29" t="str">
        <f>'Balance Sheet'!B9</f>
        <v>Average Accounts Receivable</v>
      </c>
      <c r="C85" s="29"/>
      <c r="D85" s="29"/>
      <c r="E85" s="29"/>
      <c r="F85" s="29"/>
      <c r="G85" s="29"/>
      <c r="H85" s="29"/>
      <c r="I85" s="29"/>
      <c r="J85" s="29"/>
      <c r="K85" s="29"/>
      <c r="L85" s="29"/>
      <c r="M85" s="29"/>
      <c r="N85" s="35"/>
      <c r="O85" s="29"/>
      <c r="P85" s="29"/>
      <c r="Q85" s="29"/>
      <c r="R85" s="29"/>
      <c r="S85" s="30" t="str">
        <f>IF(ISBLANK('Balance Sheet'!S9),"__________",'Balance Sheet'!S9)</f>
        <v>$</v>
      </c>
      <c r="T85" s="123" t="str">
        <f>IF(ISBLANK(AAR),"____________________",AAR)</f>
        <v>____________________</v>
      </c>
      <c r="V85" s="112"/>
      <c r="W85" s="117"/>
    </row>
    <row r="86" spans="1:23" ht="15" customHeight="1">
      <c r="A86" s="28" t="str">
        <f>'Balance Sheet'!A11</f>
        <v>20.</v>
      </c>
      <c r="B86" s="29" t="str">
        <f>'Balance Sheet'!B11</f>
        <v>Average Accounts Payable</v>
      </c>
      <c r="C86" s="34"/>
      <c r="D86" s="34"/>
      <c r="E86" s="34"/>
      <c r="F86" s="34"/>
      <c r="G86" s="34"/>
      <c r="H86" s="34"/>
      <c r="I86" s="34"/>
      <c r="J86" s="34"/>
      <c r="K86" s="34"/>
      <c r="L86" s="34"/>
      <c r="M86" s="34"/>
      <c r="N86" s="35"/>
      <c r="O86" s="34"/>
      <c r="P86" s="34"/>
      <c r="Q86" s="34"/>
      <c r="R86" s="34"/>
      <c r="S86" s="30" t="str">
        <f>IF(ISBLANK('Balance Sheet'!S11),"__________",'Balance Sheet'!S11)</f>
        <v>$</v>
      </c>
      <c r="T86" s="123" t="str">
        <f>IF(ISBLANK(AAP),"____________________",AAP)</f>
        <v>____________________</v>
      </c>
      <c r="V86" s="112"/>
      <c r="W86" s="117"/>
    </row>
    <row r="87" spans="1:23" s="1" customFormat="1" ht="15" customHeight="1">
      <c r="A87" s="28" t="str">
        <f>'Balance Sheet'!A3</f>
        <v>17.</v>
      </c>
      <c r="B87" s="29" t="str">
        <f>'Balance Sheet'!B3</f>
        <v>Were you on a LIFO Inventory Valuation System last year?</v>
      </c>
      <c r="C87" s="39"/>
      <c r="D87" s="39"/>
      <c r="E87" s="39"/>
      <c r="F87" s="39"/>
      <c r="G87" s="39"/>
      <c r="H87" s="39"/>
      <c r="I87" s="39"/>
      <c r="J87" s="39"/>
      <c r="K87" s="39"/>
      <c r="L87" s="39"/>
      <c r="M87" s="39"/>
      <c r="N87" s="39"/>
      <c r="O87" s="39"/>
      <c r="P87" s="39"/>
      <c r="Q87" s="39"/>
      <c r="R87" s="39"/>
      <c r="S87" s="118"/>
      <c r="T87" s="123"/>
      <c r="V87" s="30"/>
      <c r="W87" s="121"/>
    </row>
    <row r="88" spans="1:23" s="1" customFormat="1" ht="15" customHeight="1">
      <c r="A88" s="28"/>
      <c r="B88" s="29" t="e">
        <f>'Balance Sheet'!#REF!</f>
        <v>#REF!</v>
      </c>
      <c r="C88" s="39"/>
      <c r="D88" s="39"/>
      <c r="E88" s="39"/>
      <c r="F88" s="39"/>
      <c r="G88" s="39"/>
      <c r="H88" s="39"/>
      <c r="I88" s="39"/>
      <c r="J88" s="39"/>
      <c r="K88" s="39"/>
      <c r="L88" s="39"/>
      <c r="M88" s="39"/>
      <c r="N88" s="39"/>
      <c r="O88" s="39"/>
      <c r="P88" s="39"/>
      <c r="Q88" s="39"/>
      <c r="R88" s="39"/>
      <c r="S88" s="118"/>
      <c r="T88" s="166" t="e">
        <f>IF(ISBLANK(AgeNew),"___________________",AgeNew)</f>
        <v>#NAME?</v>
      </c>
      <c r="U88" s="1" t="s">
        <v>3</v>
      </c>
      <c r="V88" s="30"/>
      <c r="W88" s="121"/>
    </row>
    <row r="89" spans="1:23" s="1" customFormat="1" ht="15" customHeight="1">
      <c r="A89" s="28"/>
      <c r="B89" s="29" t="str">
        <f>'Balance Sheet'!B6</f>
        <v>b.  If yes, 2022 ending balance LIFO reserve?</v>
      </c>
      <c r="C89" s="39"/>
      <c r="D89" s="39"/>
      <c r="E89" s="39"/>
      <c r="F89" s="39"/>
      <c r="G89" s="39"/>
      <c r="H89" s="39"/>
      <c r="I89" s="39"/>
      <c r="J89" s="39"/>
      <c r="K89" s="39"/>
      <c r="L89" s="39"/>
      <c r="M89" s="39"/>
      <c r="N89" s="39"/>
      <c r="O89" s="39"/>
      <c r="P89" s="39"/>
      <c r="Q89" s="39"/>
      <c r="R89" s="39"/>
      <c r="S89" s="118"/>
      <c r="T89" s="166" t="str">
        <f>IF(ISBLANK(AgeUsed),"___________________",AgeUsed)</f>
        <v>___________________</v>
      </c>
      <c r="U89" s="1" t="s">
        <v>3</v>
      </c>
      <c r="V89" s="30"/>
      <c r="W89" s="121"/>
    </row>
    <row r="90" spans="1:23" s="1" customFormat="1" ht="15" customHeight="1">
      <c r="A90" s="120"/>
      <c r="B90" s="29" t="e">
        <f>'Balance Sheet'!#REF!</f>
        <v>#REF!</v>
      </c>
      <c r="C90" s="39"/>
      <c r="D90" s="39"/>
      <c r="E90" s="39"/>
      <c r="F90" s="39"/>
      <c r="G90" s="39"/>
      <c r="H90" s="39"/>
      <c r="I90" s="39"/>
      <c r="J90" s="39"/>
      <c r="K90" s="39"/>
      <c r="L90" s="39"/>
      <c r="M90" s="39"/>
      <c r="N90" s="39"/>
      <c r="O90" s="39"/>
      <c r="P90" s="39"/>
      <c r="Q90" s="39"/>
      <c r="R90" s="39"/>
      <c r="S90" s="30"/>
      <c r="T90" s="166" t="e">
        <f>IF(ISBLANK(AgeParts),"___________________",AgeParts)</f>
        <v>#NAME?</v>
      </c>
      <c r="U90" s="1" t="s">
        <v>3</v>
      </c>
      <c r="V90" s="112"/>
      <c r="W90" s="121"/>
    </row>
    <row r="91" spans="1:23" s="1" customFormat="1" ht="16.5">
      <c r="A91" s="120"/>
      <c r="B91" s="29"/>
      <c r="C91" s="39"/>
      <c r="D91" s="39"/>
      <c r="E91" s="39"/>
      <c r="F91" s="39"/>
      <c r="G91" s="39"/>
      <c r="H91" s="39"/>
      <c r="I91" s="39"/>
      <c r="J91" s="39"/>
      <c r="K91" s="39"/>
      <c r="L91" s="39"/>
      <c r="M91" s="39"/>
      <c r="N91" s="39"/>
      <c r="O91" s="39"/>
      <c r="P91" s="39"/>
      <c r="Q91" s="39"/>
      <c r="R91" s="39"/>
      <c r="S91" s="30"/>
      <c r="T91" s="166"/>
      <c r="V91" s="112"/>
      <c r="W91" s="121"/>
    </row>
    <row r="92" spans="1:23" ht="22.5">
      <c r="A92" s="136" t="str">
        <f>'Balance Sheet'!A13</f>
        <v>21.</v>
      </c>
      <c r="B92" s="137" t="str">
        <f>'Balance Sheet'!B13</f>
        <v>Balance Sheet (end of fiscal year)</v>
      </c>
      <c r="C92" s="138"/>
      <c r="D92" s="138"/>
      <c r="E92" s="138"/>
      <c r="F92" s="138"/>
      <c r="G92" s="138"/>
      <c r="H92" s="138"/>
      <c r="I92" s="138"/>
      <c r="J92" s="138"/>
      <c r="K92" s="138"/>
      <c r="L92" s="138"/>
      <c r="M92" s="138"/>
      <c r="N92" s="138"/>
      <c r="O92" s="138"/>
      <c r="P92" s="138"/>
      <c r="Q92" s="138"/>
      <c r="R92" s="138"/>
      <c r="S92" s="138"/>
      <c r="T92" s="138"/>
      <c r="U92" s="138"/>
      <c r="V92" s="139"/>
      <c r="W92" s="117"/>
    </row>
    <row r="93" spans="1:23" ht="15" customHeight="1">
      <c r="A93" s="120"/>
      <c r="B93" s="124" t="str">
        <f>'Balance Sheet'!B14</f>
        <v>Assets</v>
      </c>
      <c r="C93" s="29"/>
      <c r="D93" s="29"/>
      <c r="E93" s="29"/>
      <c r="F93" s="29"/>
      <c r="G93" s="29"/>
      <c r="H93" s="29"/>
      <c r="I93" s="29"/>
      <c r="J93" s="29"/>
      <c r="K93" s="29"/>
      <c r="L93" s="29"/>
      <c r="M93" s="29"/>
      <c r="N93" s="29"/>
      <c r="O93" s="29"/>
      <c r="P93" s="29"/>
      <c r="Q93" s="29"/>
      <c r="R93" s="29"/>
      <c r="S93" s="29"/>
      <c r="T93" s="29"/>
      <c r="U93" s="29"/>
      <c r="V93" s="15"/>
      <c r="W93" s="117"/>
    </row>
    <row r="94" spans="1:23" ht="15" customHeight="1">
      <c r="A94" s="120"/>
      <c r="B94" s="34" t="str">
        <f>'Balance Sheet'!B15</f>
        <v>Current Assets</v>
      </c>
      <c r="C94" s="29"/>
      <c r="D94" s="29"/>
      <c r="E94" s="29"/>
      <c r="F94" s="29"/>
      <c r="G94" s="29"/>
      <c r="H94" s="29"/>
      <c r="I94" s="29"/>
      <c r="J94" s="29"/>
      <c r="K94" s="29"/>
      <c r="L94" s="29"/>
      <c r="M94" s="29"/>
      <c r="N94" s="29"/>
      <c r="O94" s="29"/>
      <c r="P94" s="29"/>
      <c r="Q94" s="29"/>
      <c r="R94" s="29"/>
      <c r="S94" s="29"/>
      <c r="T94" s="29"/>
      <c r="U94" s="29"/>
      <c r="V94" s="15"/>
      <c r="W94" s="117"/>
    </row>
    <row r="95" spans="1:23" ht="15" customHeight="1">
      <c r="A95" s="120"/>
      <c r="B95" s="29" t="str">
        <f>'Balance Sheet'!B16</f>
        <v>Cash &amp; Marketable Securities</v>
      </c>
      <c r="C95" s="29"/>
      <c r="D95" s="29"/>
      <c r="E95" s="29"/>
      <c r="F95" s="29"/>
      <c r="G95" s="29"/>
      <c r="H95" s="29"/>
      <c r="I95" s="29"/>
      <c r="J95" s="29"/>
      <c r="K95" s="29"/>
      <c r="L95" s="29"/>
      <c r="M95" s="29"/>
      <c r="N95" s="29"/>
      <c r="O95" s="29"/>
      <c r="P95" s="29"/>
      <c r="Q95" s="29"/>
      <c r="R95" s="29"/>
      <c r="S95" s="46" t="str">
        <f>IF(ISBLANK('Balance Sheet'!S16),"__________________",'Balance Sheet'!S16)</f>
        <v>$</v>
      </c>
      <c r="T95" s="123" t="str">
        <f>IF(ISBLANK(Cash),"____________________",Cash)</f>
        <v>____________________</v>
      </c>
      <c r="U95" s="30"/>
      <c r="V95" s="112"/>
      <c r="W95" s="115"/>
    </row>
    <row r="96" spans="1:23" ht="15" customHeight="1">
      <c r="A96" s="120"/>
      <c r="B96" s="29" t="str">
        <f>'Balance Sheet'!B17</f>
        <v>Accounts Receivable</v>
      </c>
      <c r="C96" s="29"/>
      <c r="D96" s="29"/>
      <c r="E96" s="29"/>
      <c r="F96" s="29"/>
      <c r="G96" s="29"/>
      <c r="H96" s="29"/>
      <c r="J96" s="36" t="str">
        <f>'Balance Sheet'!I17</f>
        <v>— trade receivables, less allowance for bad debts</v>
      </c>
      <c r="K96" s="29"/>
      <c r="L96" s="29"/>
      <c r="M96" s="29"/>
      <c r="O96" s="29"/>
      <c r="P96" s="29"/>
      <c r="Q96" s="29"/>
      <c r="R96" s="29"/>
      <c r="S96" s="47"/>
      <c r="T96" s="123" t="str">
        <f>IF(ISBLANK(AR),"____________________",AR)</f>
        <v>____________________</v>
      </c>
      <c r="U96" s="29"/>
      <c r="V96" s="112"/>
      <c r="W96" s="115"/>
    </row>
    <row r="97" spans="1:23" ht="15" customHeight="1">
      <c r="A97" s="120"/>
      <c r="B97" s="168" t="str">
        <f>'Balance Sheet'!B18</f>
        <v>Inventory</v>
      </c>
      <c r="E97" s="35"/>
      <c r="F97" s="36"/>
      <c r="G97" s="35"/>
      <c r="H97" s="35"/>
      <c r="I97" s="35"/>
      <c r="J97" s="35"/>
      <c r="K97" s="35"/>
      <c r="L97" s="35"/>
      <c r="M97" s="35"/>
      <c r="N97" s="29"/>
      <c r="O97" s="29"/>
      <c r="P97" s="29"/>
      <c r="Q97" s="29"/>
      <c r="R97" s="29"/>
      <c r="S97" s="47"/>
      <c r="T97" s="123"/>
      <c r="U97" s="29"/>
      <c r="W97" s="115"/>
    </row>
    <row r="98" spans="1:23" ht="15" customHeight="1">
      <c r="A98" s="120"/>
      <c r="B98" s="29"/>
      <c r="C98" s="29" t="str">
        <f>'Balance Sheet'!X26</f>
        <v>New Power Equipment Inventory</v>
      </c>
      <c r="E98" s="35"/>
      <c r="F98" s="36"/>
      <c r="G98" s="35"/>
      <c r="H98" s="35"/>
      <c r="I98" s="35"/>
      <c r="J98" s="35"/>
      <c r="K98" s="35"/>
      <c r="L98" s="35"/>
      <c r="M98" s="35"/>
      <c r="N98" s="29"/>
      <c r="O98" s="29"/>
      <c r="P98" s="29"/>
      <c r="Q98" s="29"/>
      <c r="R98" s="29"/>
      <c r="S98" s="47"/>
      <c r="T98" s="123" t="str">
        <f>IF(ISBLANK(NEWINV),"____________________",NEWINV)</f>
        <v>____________________</v>
      </c>
      <c r="U98" s="29"/>
      <c r="W98" s="115"/>
    </row>
    <row r="99" spans="1:23" ht="15" customHeight="1">
      <c r="A99" s="120"/>
      <c r="B99" s="29"/>
      <c r="C99" s="29" t="str">
        <f>'Balance Sheet'!X27</f>
        <v>Used Power Equipment Inventory</v>
      </c>
      <c r="E99" s="35"/>
      <c r="F99" s="36"/>
      <c r="G99" s="35"/>
      <c r="H99" s="35"/>
      <c r="I99" s="35"/>
      <c r="J99" s="35"/>
      <c r="K99" s="35"/>
      <c r="L99" s="35"/>
      <c r="M99" s="35"/>
      <c r="N99" s="29"/>
      <c r="O99" s="29"/>
      <c r="P99" s="29"/>
      <c r="Q99" s="29"/>
      <c r="R99" s="29"/>
      <c r="S99" s="47"/>
      <c r="T99" s="123" t="str">
        <f>IF(ISBLANK(USEDINV),"____________________",USEDINV)</f>
        <v>____________________</v>
      </c>
      <c r="U99" s="29"/>
      <c r="W99" s="115"/>
    </row>
    <row r="100" spans="1:23" ht="15" customHeight="1">
      <c r="A100" s="120"/>
      <c r="B100" s="29"/>
      <c r="C100" s="29" t="str">
        <f>'Balance Sheet'!X28</f>
        <v>Parts Inventory</v>
      </c>
      <c r="E100" s="35"/>
      <c r="F100" s="36"/>
      <c r="G100" s="35"/>
      <c r="H100" s="35"/>
      <c r="I100" s="35"/>
      <c r="J100" s="35"/>
      <c r="K100" s="35"/>
      <c r="L100" s="35"/>
      <c r="M100" s="35"/>
      <c r="N100" s="29"/>
      <c r="O100" s="29"/>
      <c r="P100" s="29"/>
      <c r="Q100" s="29"/>
      <c r="R100" s="29"/>
      <c r="S100" s="47"/>
      <c r="T100" s="123" t="str">
        <f>IF(ISBLANK(PARTSINV),"____________________",PARTSINV)</f>
        <v>____________________</v>
      </c>
      <c r="U100" s="29"/>
      <c r="W100" s="115"/>
    </row>
    <row r="101" spans="1:23" ht="15" customHeight="1">
      <c r="A101" s="120"/>
      <c r="B101" s="29"/>
      <c r="C101" s="29" t="str">
        <f>'Balance Sheet'!X29</f>
        <v>All Other Inventory</v>
      </c>
      <c r="D101" s="29"/>
      <c r="E101" s="35"/>
      <c r="F101" s="36"/>
      <c r="G101" s="35"/>
      <c r="H101" s="35"/>
      <c r="I101" s="35"/>
      <c r="J101" s="35"/>
      <c r="K101" s="35"/>
      <c r="L101" s="35"/>
      <c r="M101" s="35"/>
      <c r="N101" s="29"/>
      <c r="O101" s="29"/>
      <c r="P101" s="29"/>
      <c r="Q101" s="29"/>
      <c r="R101" s="29"/>
      <c r="S101" s="47"/>
      <c r="T101" s="129" t="str">
        <f>IF(ISBLANK(OINV),"____________________",OINV)</f>
        <v>____________________</v>
      </c>
      <c r="U101" s="29"/>
      <c r="W101" s="115"/>
    </row>
    <row r="102" spans="1:23" ht="15" customHeight="1">
      <c r="A102" s="120"/>
      <c r="B102" s="29"/>
      <c r="C102" s="29"/>
      <c r="D102" s="34" t="e">
        <f>'Balance Sheet'!#REF!</f>
        <v>#REF!</v>
      </c>
      <c r="E102" s="35"/>
      <c r="F102" s="36"/>
      <c r="G102" s="35"/>
      <c r="H102" s="35"/>
      <c r="I102" s="35"/>
      <c r="J102" s="35"/>
      <c r="K102" s="35"/>
      <c r="L102" s="35"/>
      <c r="M102" s="35"/>
      <c r="N102" s="29"/>
      <c r="O102" s="29"/>
      <c r="P102" s="29"/>
      <c r="Q102" s="29"/>
      <c r="R102" s="29"/>
      <c r="S102" s="47"/>
      <c r="T102" s="123" t="str">
        <f>IF(Inv&gt;0,Inv,"____________________")</f>
        <v>____________________</v>
      </c>
      <c r="U102" s="29"/>
      <c r="W102" s="115"/>
    </row>
    <row r="103" spans="1:23" ht="15" customHeight="1">
      <c r="A103" s="120"/>
      <c r="B103" s="29" t="str">
        <f>'Balance Sheet'!B19</f>
        <v>Other Current Assets</v>
      </c>
      <c r="C103" s="29"/>
      <c r="D103" s="29"/>
      <c r="E103" s="29"/>
      <c r="F103" s="29"/>
      <c r="G103" s="29"/>
      <c r="H103" s="29"/>
      <c r="I103" s="29"/>
      <c r="J103" s="29"/>
      <c r="K103" s="29"/>
      <c r="L103" s="29"/>
      <c r="M103" s="29"/>
      <c r="N103" s="29"/>
      <c r="O103" s="29"/>
      <c r="P103" s="29"/>
      <c r="Q103" s="29"/>
      <c r="R103" s="29"/>
      <c r="S103" s="47"/>
      <c r="T103" s="123" t="str">
        <f>IF(ISBLANK(Oca),"____________________",Oca)</f>
        <v>____________________</v>
      </c>
      <c r="U103" s="29"/>
      <c r="V103" s="125"/>
      <c r="W103" s="115"/>
    </row>
    <row r="104" spans="1:23" s="1" customFormat="1" ht="15" customHeight="1">
      <c r="A104" s="120"/>
      <c r="C104" s="34" t="str">
        <f>'Balance Sheet'!C20</f>
        <v>Total Current Assets</v>
      </c>
      <c r="D104" s="34"/>
      <c r="E104" s="34"/>
      <c r="F104" s="34"/>
      <c r="G104" s="34"/>
      <c r="H104" s="34"/>
      <c r="I104" s="34"/>
      <c r="J104" s="34"/>
      <c r="K104" s="34"/>
      <c r="L104" s="34"/>
      <c r="M104" s="34"/>
      <c r="N104" s="34"/>
      <c r="O104" s="34"/>
      <c r="P104" s="34"/>
      <c r="Q104" s="34"/>
      <c r="R104" s="34"/>
      <c r="S104" s="48" t="str">
        <f>IF(ISBLANK('Balance Sheet'!S20),"__________________",'Balance Sheet'!S20)</f>
        <v>$</v>
      </c>
      <c r="T104" s="126" t="str">
        <f>IF((CA&gt;0),CA,"____________________")</f>
        <v>____________________</v>
      </c>
      <c r="U104" s="127"/>
      <c r="V104" s="128"/>
      <c r="W104" s="121"/>
    </row>
    <row r="105" spans="1:23" s="1" customFormat="1" ht="15" customHeight="1">
      <c r="A105" s="120"/>
      <c r="B105" s="29" t="str">
        <f>'Balance Sheet'!X31</f>
        <v>Rental Fleet (net of depreciation)</v>
      </c>
      <c r="D105" s="34"/>
      <c r="E105" s="34"/>
      <c r="F105" s="34"/>
      <c r="G105" s="34"/>
      <c r="H105" s="34"/>
      <c r="I105" s="34"/>
      <c r="J105" s="34"/>
      <c r="K105" s="34"/>
      <c r="L105" s="34"/>
      <c r="M105" s="34"/>
      <c r="N105" s="34"/>
      <c r="O105" s="34"/>
      <c r="P105" s="34"/>
      <c r="Q105" s="34"/>
      <c r="R105" s="34"/>
      <c r="S105" s="48"/>
      <c r="T105" s="123" t="str">
        <f>IF((Fixed&lt;&gt;0),Fixed,"____________________")</f>
        <v>____________________</v>
      </c>
      <c r="U105" s="127"/>
      <c r="V105" s="128"/>
      <c r="W105" s="121"/>
    </row>
    <row r="106" spans="1:23" ht="15" customHeight="1">
      <c r="A106" s="120"/>
      <c r="B106" s="29" t="str">
        <f>'Balance Sheet'!B21</f>
        <v>Fixed Assets &amp; Noncurrent Assets</v>
      </c>
      <c r="C106" s="29"/>
      <c r="D106" s="29"/>
      <c r="E106" s="29"/>
      <c r="F106" s="29"/>
      <c r="G106" s="29"/>
      <c r="H106" s="29"/>
      <c r="I106" s="29"/>
      <c r="K106" s="36"/>
      <c r="L106" s="29"/>
      <c r="M106" s="29"/>
      <c r="O106" s="29"/>
      <c r="P106" s="29"/>
      <c r="Q106" s="29"/>
      <c r="R106" s="29"/>
      <c r="S106" s="47"/>
      <c r="T106" s="123" t="str">
        <f>IF(ISBLANK(OFA),"____________________",OFA)</f>
        <v>____________________</v>
      </c>
      <c r="U106" s="29"/>
      <c r="V106" s="125"/>
      <c r="W106" s="115"/>
    </row>
    <row r="107" spans="1:23" s="1" customFormat="1" ht="15" customHeight="1">
      <c r="A107" s="120"/>
      <c r="C107" s="34" t="str">
        <f>'Balance Sheet'!C22</f>
        <v>Total Assets</v>
      </c>
      <c r="H107" s="167" t="str">
        <f>'Balance Sheet'!H22</f>
        <v>= Total Current Assets + Fixed Assets &amp; Noncurrent Assets</v>
      </c>
      <c r="O107" s="34"/>
      <c r="P107" s="34"/>
      <c r="Q107" s="34"/>
      <c r="R107" s="34"/>
      <c r="S107" s="48" t="str">
        <f>IF(ISBLANK('Balance Sheet'!S22),"__________________",'Balance Sheet'!S22)</f>
        <v>$</v>
      </c>
      <c r="T107" s="126" t="str">
        <f>IF((TA&gt;0),TA,"____________________")</f>
        <v>____________________</v>
      </c>
      <c r="U107" s="127"/>
      <c r="V107" s="128"/>
      <c r="W107" s="121"/>
    </row>
    <row r="108" spans="1:23" ht="15" customHeight="1">
      <c r="A108" s="120"/>
      <c r="B108" s="124" t="str">
        <f>'Balance Sheet'!B24</f>
        <v>Liabilities and Net Worth</v>
      </c>
      <c r="C108" s="29"/>
      <c r="D108" s="29"/>
      <c r="E108" s="29"/>
      <c r="F108" s="29"/>
      <c r="G108" s="29"/>
      <c r="H108" s="29"/>
      <c r="I108" s="29"/>
      <c r="J108" s="29"/>
      <c r="K108" s="29"/>
      <c r="L108" s="29"/>
      <c r="M108" s="29"/>
      <c r="N108" s="29"/>
      <c r="O108" s="29"/>
      <c r="P108" s="29"/>
      <c r="Q108" s="29"/>
      <c r="R108" s="29"/>
      <c r="S108" s="47"/>
      <c r="T108" s="47"/>
      <c r="U108" s="29"/>
      <c r="V108" s="4"/>
      <c r="W108" s="117"/>
    </row>
    <row r="109" spans="1:23" ht="15" customHeight="1">
      <c r="A109" s="120"/>
      <c r="B109" s="34" t="str">
        <f>'Balance Sheet'!B25</f>
        <v>Current Liabilities</v>
      </c>
      <c r="C109" s="29"/>
      <c r="D109" s="29"/>
      <c r="E109" s="29"/>
      <c r="F109" s="29"/>
      <c r="G109" s="29"/>
      <c r="H109" s="29"/>
      <c r="I109" s="29"/>
      <c r="J109" s="29"/>
      <c r="K109" s="29"/>
      <c r="L109" s="29"/>
      <c r="M109" s="29"/>
      <c r="N109" s="29"/>
      <c r="O109" s="29"/>
      <c r="P109" s="29"/>
      <c r="Q109" s="29"/>
      <c r="R109" s="29"/>
      <c r="S109" s="47"/>
      <c r="T109" s="47"/>
      <c r="U109" s="29"/>
      <c r="V109" s="4"/>
      <c r="W109" s="117"/>
    </row>
    <row r="110" spans="1:23" ht="15" customHeight="1">
      <c r="A110" s="120"/>
      <c r="B110" s="29" t="str">
        <f>'Balance Sheet'!B26</f>
        <v>Accounts Payable</v>
      </c>
      <c r="C110" s="29"/>
      <c r="D110" s="29"/>
      <c r="E110" s="29"/>
      <c r="F110" s="29"/>
      <c r="G110" s="29"/>
      <c r="I110" s="167" t="str">
        <f>'Balance Sheet'!H26</f>
        <v>— trade</v>
      </c>
      <c r="J110" s="29"/>
      <c r="K110" s="29"/>
      <c r="L110" s="29"/>
      <c r="M110" s="29"/>
      <c r="N110" s="29"/>
      <c r="O110" s="29"/>
      <c r="P110" s="29"/>
      <c r="Q110" s="29"/>
      <c r="R110" s="29"/>
      <c r="S110" s="46" t="str">
        <f>IF(ISBLANK('Balance Sheet'!S26),"__________________",'Balance Sheet'!S26)</f>
        <v>$</v>
      </c>
      <c r="T110" s="123" t="str">
        <f>IF(ISBLANK(AP),"____________________",AP)</f>
        <v>____________________</v>
      </c>
      <c r="U110" s="30"/>
      <c r="V110" s="112"/>
      <c r="W110" s="117"/>
    </row>
    <row r="111" spans="1:23" ht="15" customHeight="1">
      <c r="A111" s="120"/>
      <c r="B111" s="29" t="str">
        <f>'Balance Sheet'!B27</f>
        <v>Notes Payable, Line of Credit, Current Portion of Long-term Debt</v>
      </c>
      <c r="C111" s="29"/>
      <c r="D111" s="29"/>
      <c r="E111" s="29"/>
      <c r="F111" s="29"/>
      <c r="H111" s="36"/>
      <c r="I111" s="29"/>
      <c r="J111" s="29"/>
      <c r="K111" s="29"/>
      <c r="L111" s="29"/>
      <c r="M111" s="29"/>
      <c r="N111" s="29"/>
      <c r="O111" s="29"/>
      <c r="P111" s="29"/>
      <c r="Q111" s="29"/>
      <c r="R111" s="29"/>
      <c r="S111" s="47"/>
      <c r="T111" s="123" t="str">
        <f>IF(ISBLANK(NP),"____________________",NP)</f>
        <v>____________________</v>
      </c>
      <c r="U111" s="29"/>
      <c r="V111" s="112"/>
      <c r="W111" s="117"/>
    </row>
    <row r="112" spans="1:23" ht="15" customHeight="1">
      <c r="A112" s="120"/>
      <c r="B112" s="29" t="str">
        <f>'Balance Sheet'!B28</f>
        <v>Other Current Liabilities</v>
      </c>
      <c r="C112" s="29"/>
      <c r="D112" s="29"/>
      <c r="E112" s="29"/>
      <c r="F112" s="29"/>
      <c r="G112" s="29"/>
      <c r="H112" s="29"/>
      <c r="I112" s="29"/>
      <c r="K112" s="36" t="str">
        <f>'Balance Sheet'!J28</f>
        <v>— including accruals, taxes, benefits, etc.</v>
      </c>
      <c r="L112" s="29"/>
      <c r="M112" s="29"/>
      <c r="N112" s="29"/>
      <c r="O112" s="29"/>
      <c r="P112" s="29"/>
      <c r="Q112" s="29"/>
      <c r="R112" s="29"/>
      <c r="S112" s="47"/>
      <c r="T112" s="129" t="str">
        <f>IF(ISBLANK(Ocl),"____________________",Ocl)</f>
        <v>____________________</v>
      </c>
      <c r="U112" s="29"/>
      <c r="V112" s="125"/>
      <c r="W112" s="117"/>
    </row>
    <row r="113" spans="1:23" s="1" customFormat="1" ht="15" customHeight="1">
      <c r="A113" s="120"/>
      <c r="C113" s="34" t="str">
        <f>'Balance Sheet'!C29</f>
        <v>Total Current Liabilities</v>
      </c>
      <c r="D113" s="34"/>
      <c r="E113" s="34"/>
      <c r="F113" s="34"/>
      <c r="G113" s="34"/>
      <c r="H113" s="34"/>
      <c r="I113" s="34"/>
      <c r="J113" s="34"/>
      <c r="K113" s="34"/>
      <c r="L113" s="34"/>
      <c r="M113" s="34"/>
      <c r="N113" s="34"/>
      <c r="O113" s="34"/>
      <c r="P113" s="34"/>
      <c r="Q113" s="34"/>
      <c r="R113" s="34"/>
      <c r="S113" s="48" t="str">
        <f>IF(ISBLANK('Balance Sheet'!S29),"__________________",'Balance Sheet'!S29)</f>
        <v>$</v>
      </c>
      <c r="T113" s="126" t="str">
        <f>IF((CL&gt;0),CL,"____________________")</f>
        <v>____________________</v>
      </c>
      <c r="U113" s="127"/>
      <c r="V113" s="128"/>
      <c r="W113" s="121"/>
    </row>
    <row r="114" spans="1:23" ht="15" customHeight="1">
      <c r="A114" s="120"/>
      <c r="B114" s="29" t="str">
        <f>'Balance Sheet'!B30</f>
        <v>Long Term Liabilities</v>
      </c>
      <c r="C114" s="29"/>
      <c r="D114" s="29"/>
      <c r="E114" s="29"/>
      <c r="F114" s="29"/>
      <c r="G114" s="29"/>
      <c r="H114" s="29"/>
      <c r="J114" s="167" t="str">
        <f>'Balance Sheet'!I30</f>
        <v>— not due within one year</v>
      </c>
      <c r="K114" s="29"/>
      <c r="L114" s="29"/>
      <c r="M114" s="29"/>
      <c r="N114" s="29"/>
      <c r="O114" s="29"/>
      <c r="P114" s="29"/>
      <c r="Q114" s="29"/>
      <c r="R114" s="29"/>
      <c r="S114" s="47"/>
      <c r="T114" s="123" t="str">
        <f>IF(ISBLANK(LTL),"____________________",LTL)</f>
        <v>____________________</v>
      </c>
      <c r="U114" s="29"/>
      <c r="V114" s="112"/>
      <c r="W114" s="117"/>
    </row>
    <row r="115" spans="1:23" ht="15" customHeight="1">
      <c r="A115" s="120"/>
      <c r="B115" s="29" t="str">
        <f>'Balance Sheet'!B31</f>
        <v>Loans from Stockholders</v>
      </c>
      <c r="C115" s="29"/>
      <c r="D115" s="29"/>
      <c r="E115" s="29"/>
      <c r="F115" s="29"/>
      <c r="G115" s="29"/>
      <c r="H115" s="29"/>
      <c r="I115" s="29"/>
      <c r="J115" s="29"/>
      <c r="K115" s="29"/>
      <c r="L115" s="29"/>
      <c r="M115" s="29"/>
      <c r="N115" s="29"/>
      <c r="O115" s="29"/>
      <c r="P115" s="29"/>
      <c r="Q115" s="29"/>
      <c r="R115" s="29"/>
      <c r="S115" s="47"/>
      <c r="T115" s="123" t="str">
        <f>IF(ISBLANK(Loan),"____________________",Loan)</f>
        <v>____________________</v>
      </c>
      <c r="U115" s="29"/>
      <c r="V115" s="112"/>
      <c r="W115" s="117"/>
    </row>
    <row r="116" spans="1:23" ht="15" customHeight="1">
      <c r="A116" s="120"/>
      <c r="B116" s="29" t="str">
        <f>'Balance Sheet'!B32</f>
        <v>Net Worth or Owner Equity</v>
      </c>
      <c r="C116" s="29"/>
      <c r="D116" s="29"/>
      <c r="E116" s="29"/>
      <c r="F116" s="29"/>
      <c r="G116" s="29"/>
      <c r="H116" s="29"/>
      <c r="I116" s="29"/>
      <c r="J116" s="29"/>
      <c r="L116" s="167" t="str">
        <f>'Balance Sheet'!K32</f>
        <v>— paid-in capital &amp; retained earnings</v>
      </c>
      <c r="M116" s="29"/>
      <c r="N116" s="29"/>
      <c r="O116" s="29"/>
      <c r="P116" s="29"/>
      <c r="Q116" s="29"/>
      <c r="R116" s="29"/>
      <c r="S116" s="47"/>
      <c r="T116" s="129" t="str">
        <f>IF((Eqty&lt;&gt;0),Eqty,"____________________")</f>
        <v>____________________</v>
      </c>
      <c r="U116" s="29"/>
      <c r="V116" s="125"/>
      <c r="W116" s="117"/>
    </row>
    <row r="117" spans="1:23" s="1" customFormat="1" ht="15" customHeight="1">
      <c r="A117" s="120"/>
      <c r="C117" s="34" t="str">
        <f>'Balance Sheet'!C33</f>
        <v>Total Liabilities and Net Worth</v>
      </c>
      <c r="D117" s="34"/>
      <c r="E117" s="34"/>
      <c r="F117" s="34"/>
      <c r="G117" s="34"/>
      <c r="H117" s="34"/>
      <c r="I117" s="34"/>
      <c r="J117" s="34"/>
      <c r="K117" s="34"/>
      <c r="L117" s="34"/>
      <c r="M117" s="34"/>
      <c r="N117" s="34"/>
      <c r="O117" s="34"/>
      <c r="P117" s="34"/>
      <c r="Q117" s="34"/>
      <c r="R117" s="34"/>
      <c r="S117" s="48" t="str">
        <f>IF(ISBLANK('Balance Sheet'!S33),"__________________",'Balance Sheet'!S33)</f>
        <v>$</v>
      </c>
      <c r="T117" s="126" t="str">
        <f>IF((Liab&gt;0),Liab,"____________________")</f>
        <v>____________________</v>
      </c>
      <c r="U117" s="127"/>
      <c r="V117" s="128"/>
      <c r="W117" s="121"/>
    </row>
    <row r="118" spans="1:23" s="1" customFormat="1" ht="15" customHeight="1">
      <c r="A118" s="150" t="str">
        <f>'Income Statement'!A2</f>
        <v>22.</v>
      </c>
      <c r="B118" s="151" t="str">
        <f>'Income Statement'!B2</f>
        <v>Previous fiscal year Net Sales, 2021</v>
      </c>
      <c r="C118" s="152"/>
      <c r="D118" s="15"/>
      <c r="E118" s="15"/>
      <c r="F118" s="15"/>
      <c r="G118" s="15"/>
      <c r="H118" s="15"/>
      <c r="I118" s="15"/>
      <c r="J118" s="15"/>
      <c r="K118" s="15"/>
      <c r="L118" s="15"/>
      <c r="M118" s="481">
        <f>Print!L8-2</f>
        <v>2021</v>
      </c>
      <c r="N118" s="481"/>
      <c r="O118" s="481"/>
      <c r="P118" s="29"/>
      <c r="Q118" s="122"/>
      <c r="R118" s="122"/>
      <c r="S118" s="31" t="str">
        <f>IF(ISBLANK('Income Statement'!S2),"__________",'Income Statement'!S2)</f>
        <v>$</v>
      </c>
      <c r="T118" s="123" t="str">
        <f>IF(ISBLANK(Prev),"____________________",Prev)</f>
        <v>____________________</v>
      </c>
      <c r="U118" s="127"/>
      <c r="V118" s="128"/>
      <c r="W118" s="121"/>
    </row>
    <row r="119" spans="1:23" s="140" customFormat="1" ht="20.25" customHeight="1">
      <c r="A119" s="170" t="str">
        <f>'Income Statement'!A4</f>
        <v>23.</v>
      </c>
      <c r="B119" s="137" t="str">
        <f>'Income Statement'!B1</f>
        <v>Income Statement</v>
      </c>
      <c r="N119" s="138" t="s">
        <v>144</v>
      </c>
      <c r="S119" s="141"/>
      <c r="T119" s="141"/>
      <c r="W119" s="142"/>
    </row>
    <row r="120" spans="1:23" s="1" customFormat="1" ht="18" customHeight="1">
      <c r="A120" s="39"/>
      <c r="B120" s="34" t="str">
        <f>'Income Statement'!B5</f>
        <v>Net Sales</v>
      </c>
      <c r="E120" s="38"/>
      <c r="F120" s="36" t="str">
        <f>'Income Statement'!F5</f>
        <v>— less returns, discounts, allowances; DO NOT INCLUDE excise taxes</v>
      </c>
      <c r="G120" s="38"/>
      <c r="H120" s="38"/>
      <c r="I120" s="38"/>
      <c r="J120" s="38"/>
      <c r="K120" s="38"/>
      <c r="L120" s="38"/>
      <c r="M120" s="38"/>
      <c r="N120" s="34"/>
      <c r="O120" s="34"/>
      <c r="P120" s="34"/>
      <c r="Q120" s="34"/>
      <c r="R120" s="34"/>
      <c r="S120" s="48" t="str">
        <f>IF(ISBLANK('Income Statement'!S5),"__________",'Income Statement'!S5)</f>
        <v>$</v>
      </c>
      <c r="T120" s="126" t="str">
        <f>IF(ISBLANK(NS),"____________________",NS)</f>
        <v>____________________</v>
      </c>
      <c r="V120" s="128"/>
      <c r="W120" s="121"/>
    </row>
    <row r="121" spans="1:23" ht="14.25" customHeight="1">
      <c r="A121" s="15"/>
      <c r="C121" s="29" t="str">
        <f>'Income Statement'!C6</f>
        <v>Cost of Goods Sold</v>
      </c>
      <c r="D121" s="35"/>
      <c r="E121" s="35"/>
      <c r="F121" s="35"/>
      <c r="G121" s="35"/>
      <c r="H121" s="35"/>
      <c r="I121" s="35"/>
      <c r="J121" s="35"/>
      <c r="K121" s="35"/>
      <c r="L121" s="35"/>
      <c r="M121" s="35"/>
      <c r="O121" s="35"/>
      <c r="P121" s="35"/>
      <c r="Q121" s="35"/>
      <c r="R121" s="35"/>
      <c r="S121" s="48" t="str">
        <f>IF(ISBLANK('Income Statement'!S6),"__________",'Income Statement'!S6)</f>
        <v>$</v>
      </c>
      <c r="T121" s="126" t="str">
        <f>IF((COGS&lt;&gt;0),COGS,"____________________")</f>
        <v>____________________</v>
      </c>
      <c r="V121" s="128"/>
      <c r="W121" s="117"/>
    </row>
    <row r="122" spans="1:23" ht="15" customHeight="1">
      <c r="A122" s="15"/>
      <c r="B122" s="34" t="str">
        <f>'Income Statement'!B9</f>
        <v>Gross Profit</v>
      </c>
      <c r="C122" s="15"/>
      <c r="D122" s="35"/>
      <c r="E122" s="35"/>
      <c r="F122" s="35"/>
      <c r="G122" s="35"/>
      <c r="H122" s="35"/>
      <c r="I122" s="35"/>
      <c r="J122" s="167" t="str">
        <f>'Income Statement'!G9</f>
        <v>= Net Sales - Cost Of Goods Sold)</v>
      </c>
      <c r="K122" s="35"/>
      <c r="L122" s="35"/>
      <c r="M122" s="35"/>
      <c r="O122" s="35"/>
      <c r="P122" s="35"/>
      <c r="Q122" s="35"/>
      <c r="R122" s="35"/>
      <c r="S122" s="48" t="str">
        <f>IF(ISBLANK('Income Statement'!S9),"__________",'Income Statement'!S9)</f>
        <v>$</v>
      </c>
      <c r="T122" s="126" t="str">
        <f>IF((GP&lt;&gt;0),GP,"____________________")</f>
        <v>____________________</v>
      </c>
      <c r="V122" s="128"/>
      <c r="W122" s="117"/>
    </row>
    <row r="123" spans="1:23" s="4" customFormat="1" ht="15" customHeight="1">
      <c r="A123" s="15"/>
      <c r="B123" s="171" t="e">
        <f>'Income Statement'!#REF!</f>
        <v>#REF!</v>
      </c>
      <c r="C123" s="172"/>
      <c r="D123" s="172"/>
      <c r="E123" s="172"/>
      <c r="F123" s="172"/>
      <c r="G123" s="172"/>
      <c r="H123" s="172"/>
      <c r="I123" s="172"/>
      <c r="J123" s="172"/>
      <c r="K123" s="172"/>
      <c r="L123" s="172"/>
      <c r="M123" s="172"/>
      <c r="N123" s="173"/>
      <c r="O123" s="173"/>
      <c r="P123" s="173"/>
      <c r="Q123" s="173"/>
      <c r="R123" s="173"/>
      <c r="S123" s="141"/>
      <c r="T123" s="141"/>
      <c r="U123" s="37"/>
      <c r="V123" s="112"/>
      <c r="W123" s="117"/>
    </row>
    <row r="124" spans="1:23" s="4" customFormat="1" ht="15" customHeight="1">
      <c r="A124" s="15"/>
      <c r="B124" s="34">
        <f>'Income Statement'!B42</f>
        <v>0</v>
      </c>
      <c r="C124" s="15"/>
      <c r="D124" s="15"/>
      <c r="E124" s="15"/>
      <c r="F124" s="15"/>
      <c r="G124" s="15"/>
      <c r="H124" s="15"/>
      <c r="I124" s="15"/>
      <c r="J124" s="15"/>
      <c r="K124" s="15"/>
      <c r="L124" s="15"/>
      <c r="M124" s="15"/>
      <c r="N124" s="35"/>
      <c r="O124" s="35"/>
      <c r="P124" s="35"/>
      <c r="Q124" s="35"/>
      <c r="R124" s="35"/>
      <c r="S124" s="49"/>
      <c r="T124" s="49"/>
      <c r="U124" s="37"/>
      <c r="V124" s="112"/>
      <c r="W124" s="117"/>
    </row>
    <row r="125" spans="1:23" ht="14.25" customHeight="1">
      <c r="B125" s="37" t="e">
        <f>'Income Statement'!#REF!</f>
        <v>#REF!</v>
      </c>
      <c r="D125" s="38"/>
      <c r="E125" s="38"/>
      <c r="F125" s="38"/>
      <c r="H125" s="38"/>
      <c r="I125" s="36"/>
      <c r="J125" s="38"/>
      <c r="K125" s="38"/>
      <c r="L125" s="38"/>
      <c r="M125" s="38"/>
      <c r="S125" s="49"/>
      <c r="T125" s="48" t="str">
        <f>IF((SAL&lt;&gt;0),SAL,"____________________")</f>
        <v>____________________</v>
      </c>
      <c r="V125" s="125"/>
    </row>
    <row r="126" spans="1:23" ht="14.25" customHeight="1">
      <c r="B126" s="37" t="str">
        <f>'Income Statement'!B18</f>
        <v>Payroll Taxes — FICA, unemployment, workers' compensation</v>
      </c>
      <c r="C126" s="37"/>
      <c r="D126" s="38"/>
      <c r="E126" s="38"/>
      <c r="F126" s="38"/>
      <c r="H126" s="38"/>
      <c r="I126" s="36"/>
      <c r="J126" s="38"/>
      <c r="K126" s="38"/>
      <c r="L126" s="38"/>
      <c r="M126" s="38"/>
      <c r="S126" s="49"/>
      <c r="T126" s="123" t="str">
        <f>IF(ISBLANK(PT),"____________________",PT)</f>
        <v>____________________</v>
      </c>
      <c r="V126" s="125"/>
    </row>
    <row r="127" spans="1:23" ht="14.25" customHeight="1">
      <c r="B127" s="37" t="str">
        <f>'Income Statement'!B19</f>
        <v>Group Insurance — medical, hospitalization, etc.</v>
      </c>
      <c r="C127" s="37"/>
      <c r="D127" s="38"/>
      <c r="E127" s="38"/>
      <c r="F127" s="38"/>
      <c r="H127" s="38"/>
      <c r="I127" s="36"/>
      <c r="J127" s="38"/>
      <c r="K127" s="38"/>
      <c r="L127" s="38"/>
      <c r="M127" s="38"/>
      <c r="S127" s="49"/>
      <c r="T127" s="123" t="str">
        <f>IF(ISBLANK(GRP_INS),"____________________",GRP_INS)</f>
        <v>____________________</v>
      </c>
      <c r="V127" s="125"/>
    </row>
    <row r="128" spans="1:23" ht="14.25" customHeight="1">
      <c r="B128" s="37" t="str">
        <f>'Income Statement'!B20</f>
        <v>Employee Benefits — pension, 401(k) &amp; benefits not mandated by the govt.</v>
      </c>
      <c r="E128" s="38"/>
      <c r="F128" s="38"/>
      <c r="G128" s="38"/>
      <c r="H128" s="36" t="s">
        <v>137</v>
      </c>
      <c r="I128" s="38"/>
      <c r="J128" s="38"/>
      <c r="K128" s="38"/>
      <c r="L128" s="38"/>
      <c r="M128" s="38"/>
      <c r="S128" s="49"/>
      <c r="T128" s="129" t="str">
        <f>IF(ISBLANK(BENE),"____________________",BENE)</f>
        <v>____________________</v>
      </c>
      <c r="V128" s="125"/>
    </row>
    <row r="129" spans="1:23" s="1" customFormat="1" ht="14.25" customHeight="1">
      <c r="A129" s="3"/>
      <c r="C129" s="34" t="str">
        <f>'Income Statement'!C21</f>
        <v>Total Payroll Expenses</v>
      </c>
      <c r="S129" s="48" t="e">
        <f>IF(ISBLANK('Income Statement'!#REF!),"__________",'Income Statement'!#REF!)</f>
        <v>#REF!</v>
      </c>
      <c r="T129" s="48" t="str">
        <f>IF((PA&lt;&gt;0),PA,"____________________")</f>
        <v>____________________</v>
      </c>
      <c r="U129" s="128"/>
      <c r="V129" s="128"/>
      <c r="W129" s="17"/>
    </row>
    <row r="130" spans="1:23" s="1" customFormat="1" ht="18" customHeight="1">
      <c r="A130" s="3"/>
      <c r="B130" s="34" t="e">
        <f>'Income Statement'!#REF!</f>
        <v>#REF!</v>
      </c>
      <c r="C130" s="34"/>
      <c r="S130" s="48"/>
      <c r="T130" s="48"/>
      <c r="U130" s="128"/>
      <c r="V130" s="128"/>
      <c r="W130" s="17"/>
    </row>
    <row r="131" spans="1:23" s="1" customFormat="1" ht="14.25" customHeight="1">
      <c r="A131" s="3"/>
      <c r="B131" s="37">
        <f>'Income Statement'!B69</f>
        <v>0</v>
      </c>
      <c r="C131" s="34"/>
      <c r="S131" s="48"/>
      <c r="T131" s="123" t="str">
        <f>IF(ISBLANK(UT),"____________________",UT)</f>
        <v>____________________</v>
      </c>
      <c r="U131" s="128"/>
      <c r="V131" s="128"/>
      <c r="W131" s="17"/>
    </row>
    <row r="132" spans="1:23" s="1" customFormat="1" ht="14.25" customHeight="1">
      <c r="A132" s="3"/>
      <c r="B132" s="37">
        <f>'Income Statement'!B70</f>
        <v>0</v>
      </c>
      <c r="C132" s="34"/>
      <c r="S132" s="48"/>
      <c r="T132" s="123" t="str">
        <f>IF(ISBLANK(RM),"____________________",RM)</f>
        <v>____________________</v>
      </c>
      <c r="U132" s="128"/>
      <c r="V132" s="128"/>
      <c r="W132" s="17"/>
    </row>
    <row r="133" spans="1:23" s="1" customFormat="1" ht="14.25" customHeight="1">
      <c r="A133" s="3"/>
      <c r="B133" s="37">
        <f>'Income Statement'!B71</f>
        <v>0</v>
      </c>
      <c r="C133" s="34"/>
      <c r="S133" s="48"/>
      <c r="T133" s="129" t="str">
        <f>IF(ISBLANK(Rent),"____________________",Rent)</f>
        <v>____________________</v>
      </c>
      <c r="U133" s="128"/>
      <c r="V133" s="128"/>
      <c r="W133" s="17"/>
    </row>
    <row r="134" spans="1:23" s="1" customFormat="1" ht="14.25" customHeight="1">
      <c r="A134" s="3"/>
      <c r="C134" s="34" t="e">
        <f>'Income Statement'!#REF!</f>
        <v>#REF!</v>
      </c>
      <c r="S134" s="48"/>
      <c r="T134" s="48" t="str">
        <f>IF((OC&lt;&gt;0),OC,"____________________")</f>
        <v>____________________</v>
      </c>
      <c r="U134" s="128"/>
      <c r="V134" s="128"/>
      <c r="W134" s="17"/>
    </row>
    <row r="135" spans="1:23" ht="18" customHeight="1">
      <c r="B135" s="34" t="e">
        <f>'Income Statement'!#REF!</f>
        <v>#REF!</v>
      </c>
      <c r="S135" s="49"/>
      <c r="T135" s="49"/>
      <c r="V135" s="112"/>
    </row>
    <row r="136" spans="1:23" ht="12.75" customHeight="1">
      <c r="B136" s="37">
        <f>'Income Statement'!B52</f>
        <v>0</v>
      </c>
      <c r="S136" s="46" t="str">
        <f>IF(ISBLANK('Income Statement'!S52),"__________",'Income Statement'!S52)</f>
        <v>__________</v>
      </c>
      <c r="T136" s="123" t="str">
        <f>IF(ISBLANK(VEH),"____________________",VEH)</f>
        <v>____________________</v>
      </c>
      <c r="V136" s="112"/>
    </row>
    <row r="137" spans="1:23" ht="14.25" customHeight="1">
      <c r="B137" s="37">
        <f>'Income Statement'!B92</f>
        <v>0</v>
      </c>
      <c r="J137" s="36"/>
      <c r="O137" s="35"/>
      <c r="S137" s="49"/>
      <c r="T137" s="123" t="str">
        <f>IF(ISBLANK(Ins),"____________________",Ins)</f>
        <v>____________________</v>
      </c>
      <c r="V137" s="112"/>
    </row>
    <row r="138" spans="1:23" ht="14.25" customHeight="1">
      <c r="B138" s="37">
        <f>'Income Statement'!B73</f>
        <v>0</v>
      </c>
      <c r="J138" s="36"/>
      <c r="O138" s="35"/>
      <c r="S138" s="49"/>
      <c r="T138" s="123" t="str">
        <f>IF(ISBLANK(DPR),"____________________",DPR)</f>
        <v>____________________</v>
      </c>
      <c r="V138" s="112"/>
    </row>
    <row r="139" spans="1:23" ht="14.25" customHeight="1">
      <c r="B139" s="37">
        <f>'Income Statement'!B93</f>
        <v>0</v>
      </c>
      <c r="J139" s="36"/>
      <c r="O139" s="35"/>
      <c r="S139" s="49"/>
      <c r="T139" s="123" t="e">
        <f>IF(ISBLANK(TRN),"____________________",TRN)</f>
        <v>#REF!</v>
      </c>
      <c r="V139" s="112"/>
    </row>
    <row r="140" spans="1:23" ht="14.25" customHeight="1">
      <c r="B140" s="37">
        <f>'Income Statement'!B91</f>
        <v>0</v>
      </c>
      <c r="S140" s="49"/>
      <c r="T140" s="123" t="str">
        <f>IF(ISBLANK(MIS),"____________________",MIS)</f>
        <v>____________________</v>
      </c>
      <c r="V140" s="112"/>
    </row>
    <row r="141" spans="1:23" ht="14.25" customHeight="1">
      <c r="B141" s="37">
        <f>'Income Statement'!B53</f>
        <v>0</v>
      </c>
      <c r="S141" s="49"/>
      <c r="T141" s="123" t="str">
        <f>IF(ISBLANK(AD),"____________________",AD)</f>
        <v>____________________</v>
      </c>
      <c r="V141" s="112"/>
    </row>
    <row r="142" spans="1:23" ht="14.25" customHeight="1">
      <c r="B142" s="37" t="str">
        <f>'Income Statement'!B26</f>
        <v>Other Operating Expenses</v>
      </c>
      <c r="S142" s="49"/>
      <c r="T142" s="129" t="str">
        <f>IF(ISBLANK(OE),"____________________",OE)</f>
        <v>____________________</v>
      </c>
      <c r="V142" s="112"/>
    </row>
    <row r="143" spans="1:23" ht="14.25" customHeight="1">
      <c r="C143" s="34" t="e">
        <f>'Income Statement'!#REF!</f>
        <v>#REF!</v>
      </c>
      <c r="S143" s="48" t="e">
        <f>IF(ISBLANK('Income Statement'!#REF!),"__________________",'Income Statement'!#REF!)</f>
        <v>#REF!</v>
      </c>
      <c r="T143" s="126" t="e">
        <f>IF((TOE&lt;&gt;0),TOE,"____________________")</f>
        <v>#REF!</v>
      </c>
      <c r="V143" s="128"/>
    </row>
    <row r="144" spans="1:23" ht="18" customHeight="1">
      <c r="C144" s="34" t="str">
        <f>'Income Statement'!C27</f>
        <v>Total Operating Expenses</v>
      </c>
      <c r="M144" s="167">
        <f>'Income Statement'!L27</f>
        <v>0</v>
      </c>
      <c r="Q144" s="36"/>
      <c r="R144" s="35"/>
      <c r="S144" s="48" t="str">
        <f>IF(ISBLANK('Income Statement'!S27),"__________________",'Income Statement'!S27)</f>
        <v>$</v>
      </c>
      <c r="T144" s="126" t="str">
        <f>IF((TE&lt;&gt;0),TE,"____________________")</f>
        <v>____________________</v>
      </c>
      <c r="V144" s="128"/>
    </row>
    <row r="145" spans="1:23" ht="18" customHeight="1">
      <c r="B145" s="34" t="str">
        <f>'Income Statement'!B28</f>
        <v>Operating Profit</v>
      </c>
      <c r="I145" s="167" t="str">
        <f>'Income Statement'!H28</f>
        <v>= Gross Profit – Total Operating Expenses</v>
      </c>
      <c r="O145" s="35"/>
      <c r="P145" s="35"/>
      <c r="Q145" s="35"/>
      <c r="R145" s="35"/>
      <c r="S145" s="48" t="str">
        <f>IF(ISBLANK('Income Statement'!S28),"__________________",'Income Statement'!S28)</f>
        <v>$</v>
      </c>
      <c r="T145" s="126" t="str">
        <f>IF((OP&lt;&gt;0),OP,"____________________")</f>
        <v>____________________</v>
      </c>
      <c r="V145" s="128"/>
    </row>
    <row r="146" spans="1:23" ht="14.25" customHeight="1">
      <c r="B146" s="37" t="str">
        <f>'Income Statement'!B29</f>
        <v>Other Income — interest income, gain on sale of assets, rental income, etc.</v>
      </c>
      <c r="H146" s="36">
        <f>'Income Statement'!H29</f>
        <v>0</v>
      </c>
      <c r="O146" s="38"/>
      <c r="P146" s="38"/>
      <c r="Q146" s="38"/>
      <c r="R146" s="38"/>
      <c r="S146" s="49"/>
      <c r="T146" s="123" t="str">
        <f>IF(ISBLANK(OI),"____________________",OI)</f>
        <v>____________________</v>
      </c>
      <c r="V146" s="112"/>
    </row>
    <row r="147" spans="1:23" ht="14.25" customHeight="1">
      <c r="B147" s="37" t="str">
        <f>'Income Statement'!B30</f>
        <v>Interest Expense — excluding mortgage interest</v>
      </c>
      <c r="H147" s="36">
        <f>'Income Statement'!H30</f>
        <v>0</v>
      </c>
      <c r="O147" s="35"/>
      <c r="P147" s="35"/>
      <c r="Q147" s="35"/>
      <c r="R147" s="35"/>
      <c r="S147" s="49"/>
      <c r="T147" s="123" t="str">
        <f>IF(ISBLANK(Int),"____________________",Int)</f>
        <v>____________________</v>
      </c>
      <c r="V147" s="112"/>
    </row>
    <row r="148" spans="1:23" ht="14.25" customHeight="1">
      <c r="B148" s="37" t="str">
        <f>'Income Statement'!B31</f>
        <v>Other Non-Operating Expenses — including extraordinary expenses</v>
      </c>
      <c r="S148" s="49"/>
      <c r="T148" s="129" t="str">
        <f>IF(ISBLANK(Oex),"____________________",Oex)</f>
        <v>____________________</v>
      </c>
      <c r="V148" s="125"/>
    </row>
    <row r="149" spans="1:23" s="1" customFormat="1" ht="14.25" customHeight="1">
      <c r="A149" s="3"/>
      <c r="B149" s="174" t="str">
        <f>'Income Statement'!B32</f>
        <v xml:space="preserve"> Profit Before Taxes</v>
      </c>
      <c r="J149" s="36"/>
      <c r="S149" s="48" t="str">
        <f>IF(ISBLANK('Income Statement'!S32),"__________________",'Income Statement'!S32)</f>
        <v>$</v>
      </c>
      <c r="T149" s="126" t="str">
        <f>IF((PBT&lt;&gt;0),PBT,"____________________")</f>
        <v>____________________</v>
      </c>
      <c r="V149" s="128"/>
      <c r="W149" s="17"/>
    </row>
    <row r="150" spans="1:23" ht="14.25" customHeight="1">
      <c r="B150" s="37" t="str">
        <f>'Income Statement'!B33</f>
        <v>Income Taxes</v>
      </c>
      <c r="G150" s="36" t="str">
        <f>'Income Statement'!G33</f>
        <v>(Local, State, Federal)</v>
      </c>
      <c r="O150" s="35"/>
      <c r="P150" s="35"/>
      <c r="Q150" s="35"/>
      <c r="R150" s="35"/>
      <c r="S150" s="49"/>
      <c r="T150" s="129" t="str">
        <f>IF(ISBLANK(Tax),"____________________",Tax)</f>
        <v>____________________</v>
      </c>
      <c r="V150" s="125"/>
    </row>
    <row r="151" spans="1:23" s="1" customFormat="1" ht="14.25" customHeight="1">
      <c r="A151" s="3"/>
      <c r="B151" s="34" t="str">
        <f>'Income Statement'!B34</f>
        <v xml:space="preserve">  Net Profit After Taxes</v>
      </c>
      <c r="S151" s="48" t="str">
        <f>IF(ISBLANK('Income Statement'!S34),"__________________",'Income Statement'!S34)</f>
        <v>$</v>
      </c>
      <c r="T151" s="126" t="str">
        <f>IF((Net&lt;&gt;0),Net,"____________________")</f>
        <v>____________________</v>
      </c>
      <c r="V151" s="128"/>
      <c r="W151" s="17"/>
    </row>
    <row r="153" spans="1:23" ht="22.5">
      <c r="A153" s="88"/>
      <c r="B153" s="143" t="e">
        <f>#REF!</f>
        <v>#REF!</v>
      </c>
      <c r="C153" s="144"/>
      <c r="D153" s="144"/>
      <c r="E153" s="144"/>
      <c r="F153" s="144"/>
      <c r="G153" s="144"/>
      <c r="H153" s="144"/>
      <c r="I153" s="144"/>
      <c r="J153" s="144"/>
      <c r="K153" s="144"/>
      <c r="L153" s="144"/>
      <c r="M153" s="144"/>
      <c r="N153" s="144"/>
      <c r="O153" s="144"/>
      <c r="P153" s="144"/>
      <c r="Q153" s="144"/>
      <c r="R153" s="144"/>
      <c r="S153" s="144"/>
      <c r="T153" s="144"/>
      <c r="U153" s="22"/>
      <c r="V153" s="22"/>
    </row>
    <row r="154" spans="1:23" ht="6" customHeight="1">
      <c r="B154" s="130"/>
    </row>
    <row r="155" spans="1:23" ht="15">
      <c r="A155" s="28">
        <f>'Income Statement'!A81</f>
        <v>0</v>
      </c>
      <c r="B155" s="34" t="e">
        <f>'Income Statement'!#REF!</f>
        <v>#REF!</v>
      </c>
      <c r="C155" s="12"/>
      <c r="D155" s="12"/>
      <c r="E155" s="12"/>
      <c r="F155" s="12"/>
      <c r="G155" s="12"/>
      <c r="H155" s="12"/>
      <c r="I155" s="12"/>
      <c r="J155" s="12"/>
      <c r="K155" s="12"/>
      <c r="L155" s="12"/>
      <c r="M155" s="12"/>
      <c r="N155" s="12"/>
      <c r="O155" s="12"/>
      <c r="P155" s="12"/>
      <c r="Q155" s="12"/>
      <c r="R155" s="12"/>
      <c r="S155" s="12"/>
      <c r="T155" s="12"/>
      <c r="U155" s="12"/>
    </row>
    <row r="156" spans="1:23">
      <c r="A156" s="21"/>
      <c r="B156" s="12"/>
      <c r="C156" s="12"/>
      <c r="D156" s="12"/>
      <c r="E156" s="12"/>
      <c r="F156" s="12"/>
      <c r="G156" s="12"/>
      <c r="H156" s="12"/>
      <c r="I156" s="12"/>
      <c r="J156" s="12"/>
      <c r="K156" s="12"/>
      <c r="L156" s="12"/>
      <c r="M156" s="12"/>
      <c r="N156" s="131"/>
      <c r="O156" s="131"/>
      <c r="P156" s="131" t="e">
        <f>'Income Statement'!#REF!</f>
        <v>#REF!</v>
      </c>
      <c r="Q156" s="131"/>
      <c r="R156" s="131" t="e">
        <f>'Income Statement'!#REF!</f>
        <v>#REF!</v>
      </c>
      <c r="S156" s="131"/>
      <c r="T156" s="131"/>
      <c r="U156" s="12"/>
    </row>
    <row r="157" spans="1:23" ht="15" customHeight="1">
      <c r="A157" s="21"/>
      <c r="B157" s="130" t="e">
        <f>'Income Statement'!#REF!</f>
        <v>#REF!</v>
      </c>
      <c r="C157" s="12"/>
      <c r="D157" s="12"/>
      <c r="E157" s="12"/>
      <c r="F157" s="12"/>
      <c r="G157" s="12"/>
      <c r="H157" s="12"/>
      <c r="I157" s="12"/>
      <c r="J157" s="12"/>
      <c r="K157" s="12"/>
      <c r="L157" s="12"/>
      <c r="M157" s="12"/>
      <c r="N157" s="132"/>
      <c r="O157" s="12"/>
      <c r="P157" s="177" t="str">
        <f>IF(ISBLANK(NS_Candy),"_______________",NS_Candy)</f>
        <v>_______________</v>
      </c>
      <c r="Q157" s="177"/>
      <c r="R157" s="177" t="e">
        <f>IF(ISBLANK(COGS_New),"_______________",COGS_New)</f>
        <v>#REF!</v>
      </c>
      <c r="S157" s="12"/>
      <c r="T157" s="2"/>
      <c r="U157" s="12"/>
    </row>
    <row r="158" spans="1:23" ht="15" customHeight="1">
      <c r="A158" s="21"/>
      <c r="B158" s="130" t="e">
        <f>'Income Statement'!#REF!</f>
        <v>#REF!</v>
      </c>
      <c r="C158" s="12"/>
      <c r="D158" s="12"/>
      <c r="E158" s="12"/>
      <c r="F158" s="12"/>
      <c r="G158" s="12"/>
      <c r="H158" s="12"/>
      <c r="I158" s="12"/>
      <c r="J158" s="12"/>
      <c r="K158" s="12"/>
      <c r="L158" s="12"/>
      <c r="M158" s="12"/>
      <c r="N158" s="132"/>
      <c r="O158" s="12"/>
      <c r="P158" s="178" t="str">
        <f>IF(ISBLANK(NS_HBC),"_______________",NS_HBC)</f>
        <v>_______________</v>
      </c>
      <c r="Q158" s="178"/>
      <c r="R158" s="178" t="e">
        <f>IF(ISBLANK(COGS_Used),"_______________",COGS_Used)</f>
        <v>#REF!</v>
      </c>
      <c r="S158" s="12"/>
      <c r="T158" s="2"/>
      <c r="U158" s="12"/>
    </row>
    <row r="159" spans="1:23" ht="15" customHeight="1">
      <c r="A159" s="21"/>
      <c r="B159" s="130" t="e">
        <f>'Income Statement'!#REF!</f>
        <v>#REF!</v>
      </c>
      <c r="C159" s="12"/>
      <c r="D159" s="12"/>
      <c r="E159" s="12"/>
      <c r="F159" s="12"/>
      <c r="G159" s="12"/>
      <c r="H159" s="12"/>
      <c r="I159" s="12"/>
      <c r="J159" s="12"/>
      <c r="K159" s="12"/>
      <c r="L159" s="12"/>
      <c r="M159" s="12"/>
      <c r="N159" s="132"/>
      <c r="O159" s="12"/>
      <c r="P159" s="178" t="str">
        <f>IF(ISBLANK(NS_Grocery),"_______________",NS_Grocery)</f>
        <v>_______________</v>
      </c>
      <c r="Q159" s="178"/>
      <c r="R159" s="178" t="e">
        <f>IF(ISBLANK(COGS_SH),"_______________",COGS_SH)</f>
        <v>#REF!</v>
      </c>
      <c r="S159" s="12"/>
      <c r="T159" s="2"/>
      <c r="U159" s="12"/>
    </row>
    <row r="160" spans="1:23" ht="15" customHeight="1">
      <c r="A160" s="21"/>
      <c r="B160" s="130" t="e">
        <f>'Income Statement'!#REF!</f>
        <v>#REF!</v>
      </c>
      <c r="C160" s="12"/>
      <c r="D160" s="12"/>
      <c r="E160" s="12"/>
      <c r="F160" s="12"/>
      <c r="G160" s="12"/>
      <c r="H160" s="12"/>
      <c r="I160" s="12"/>
      <c r="J160" s="12"/>
      <c r="K160" s="12"/>
      <c r="L160" s="12"/>
      <c r="M160" s="12"/>
      <c r="N160" s="132"/>
      <c r="O160" s="12"/>
      <c r="P160" s="178" t="str">
        <f>IF(ISBLANK(NS_Tobacco),"_______________",NS_Tobacco)</f>
        <v>_______________</v>
      </c>
      <c r="Q160" s="178"/>
      <c r="R160" s="178" t="e">
        <f>IF(ISBLANK(COGS_ES),"_______________",COGS_ES)</f>
        <v>#REF!</v>
      </c>
      <c r="S160" s="12"/>
      <c r="T160" s="2"/>
      <c r="U160" s="12"/>
    </row>
    <row r="161" spans="1:21" ht="15" customHeight="1">
      <c r="A161" s="21"/>
      <c r="B161" s="130" t="e">
        <f>'Income Statement'!#REF!</f>
        <v>#REF!</v>
      </c>
      <c r="C161" s="12"/>
      <c r="D161" s="12"/>
      <c r="E161" s="12"/>
      <c r="F161" s="12"/>
      <c r="G161" s="12"/>
      <c r="H161" s="12"/>
      <c r="I161" s="12"/>
      <c r="J161" s="12"/>
      <c r="K161" s="12"/>
      <c r="L161" s="12"/>
      <c r="M161" s="12"/>
      <c r="N161" s="132"/>
      <c r="O161" s="12"/>
      <c r="P161" s="178" t="str">
        <f>IF(ISBLANK(NS_Cigarettes),"_______________",NS_Cigarettes)</f>
        <v>_______________</v>
      </c>
      <c r="Q161" s="178"/>
      <c r="R161" s="178" t="e">
        <f>IF(ISBLANK(COGS_Counter),"_______________",COGS_Counter)</f>
        <v>#REF!</v>
      </c>
      <c r="S161" s="12"/>
      <c r="T161" s="2"/>
      <c r="U161" s="12"/>
    </row>
    <row r="162" spans="1:21" ht="15" customHeight="1">
      <c r="A162" s="21"/>
      <c r="B162" s="29" t="e">
        <f>'Income Statement'!#REF!</f>
        <v>#REF!</v>
      </c>
      <c r="C162" s="12"/>
      <c r="D162" s="12"/>
      <c r="E162" s="12"/>
      <c r="F162" s="12"/>
      <c r="G162" s="12"/>
      <c r="H162" s="12"/>
      <c r="I162" s="12"/>
      <c r="J162" s="12"/>
      <c r="K162" s="12"/>
      <c r="L162" s="12"/>
      <c r="M162" s="12"/>
      <c r="N162" s="132"/>
      <c r="O162" s="12"/>
      <c r="P162" s="178" t="str">
        <f>IF(ISBLANK(NS_GenlMdse),"_______________",NS_GenlMdse)</f>
        <v>_______________</v>
      </c>
      <c r="Q162" s="178"/>
      <c r="R162" s="178" t="e">
        <f>IF(ISBLANK(COGS_SVC),"_______________",COGS_SVC)</f>
        <v>#REF!</v>
      </c>
      <c r="S162" s="12"/>
      <c r="T162" s="2"/>
      <c r="U162" s="12"/>
    </row>
    <row r="163" spans="1:21" ht="15" customHeight="1">
      <c r="A163" s="21"/>
      <c r="B163" s="130" t="e">
        <f>'Income Statement'!#REF!</f>
        <v>#REF!</v>
      </c>
      <c r="C163" s="12"/>
      <c r="D163" s="12"/>
      <c r="E163" s="12"/>
      <c r="F163" s="12"/>
      <c r="G163" s="12"/>
      <c r="H163" s="12"/>
      <c r="I163" s="12"/>
      <c r="J163" s="12"/>
      <c r="K163" s="12"/>
      <c r="L163" s="12"/>
      <c r="M163" s="12"/>
      <c r="N163" s="132"/>
      <c r="O163" s="12"/>
      <c r="P163" s="178" t="str">
        <f>IF(ISBLANK(NS_Food),"_______________",NS_Food)</f>
        <v>_______________</v>
      </c>
      <c r="Q163" s="178"/>
      <c r="R163" s="178" t="e">
        <f>IF(ISBLANK(COGS_Rent),"_______________",COGS_Rent)</f>
        <v>#REF!</v>
      </c>
      <c r="S163" s="12"/>
      <c r="T163" s="2"/>
      <c r="U163" s="12"/>
    </row>
    <row r="164" spans="1:21" ht="15" customHeight="1">
      <c r="A164" s="21"/>
      <c r="B164" s="130" t="e">
        <f>'Income Statement'!#REF!</f>
        <v>#REF!</v>
      </c>
      <c r="C164" s="12"/>
      <c r="D164" s="12"/>
      <c r="E164" s="12"/>
      <c r="F164" s="62"/>
      <c r="G164" s="12"/>
      <c r="H164" s="12"/>
      <c r="I164" s="12"/>
      <c r="J164" s="12"/>
      <c r="K164" s="12"/>
      <c r="L164" s="12"/>
      <c r="M164" s="12"/>
      <c r="N164" s="132"/>
      <c r="O164" s="12"/>
      <c r="P164" s="179" t="e">
        <f>IF((NS_OTH&lt;&gt;NS),NS_OTH,"_______________")</f>
        <v>#REF!</v>
      </c>
      <c r="Q164" s="179"/>
      <c r="R164" s="179" t="e">
        <f>IF((COGS_OTH&lt;&gt;COGS),COGS_OTH,"_______________")</f>
        <v>#REF!</v>
      </c>
      <c r="S164" s="12"/>
      <c r="T164" s="2"/>
      <c r="U164" s="12"/>
    </row>
    <row r="165" spans="1:21" ht="15" customHeight="1">
      <c r="A165" s="21"/>
      <c r="B165" s="130"/>
      <c r="C165" s="130" t="s">
        <v>172</v>
      </c>
      <c r="D165" s="12"/>
      <c r="E165" s="12"/>
      <c r="F165" s="12"/>
      <c r="G165" s="12"/>
      <c r="H165" s="12"/>
      <c r="I165" s="12"/>
      <c r="J165" s="12"/>
      <c r="K165" s="12"/>
      <c r="L165" s="12"/>
      <c r="M165" s="12"/>
      <c r="N165" s="132"/>
      <c r="O165" s="12"/>
      <c r="P165" s="177" t="str">
        <f>IF(ISBLANK(NS),"_______________",NS)</f>
        <v>_______________</v>
      </c>
      <c r="Q165" s="167"/>
      <c r="R165" s="177" t="str">
        <f>IF((COGS&gt;0),COGS,"_______________")</f>
        <v>_______________</v>
      </c>
      <c r="S165" s="12"/>
      <c r="T165" s="2"/>
      <c r="U165" s="12"/>
    </row>
    <row r="166" spans="1:21" ht="16.5">
      <c r="A166" s="130"/>
      <c r="B166" s="176"/>
      <c r="C166" s="12"/>
      <c r="D166" s="12"/>
      <c r="E166" s="12"/>
      <c r="F166" s="12"/>
      <c r="G166" s="12"/>
      <c r="H166" s="12"/>
      <c r="I166" s="12"/>
      <c r="J166" s="12"/>
      <c r="K166" s="12"/>
      <c r="L166" s="12"/>
      <c r="M166" s="12"/>
      <c r="N166" s="132"/>
      <c r="O166" s="12"/>
      <c r="P166" s="175"/>
      <c r="Q166" s="175"/>
      <c r="R166" s="175"/>
      <c r="S166" s="175"/>
      <c r="T166" s="175"/>
      <c r="U166" s="12"/>
    </row>
    <row r="167" spans="1:21" ht="14.25">
      <c r="A167" s="130"/>
      <c r="B167" s="130"/>
      <c r="C167" s="12"/>
      <c r="D167" s="12"/>
      <c r="E167" s="12"/>
      <c r="F167" s="12"/>
      <c r="G167" s="12"/>
      <c r="H167" s="12"/>
      <c r="I167" s="12"/>
      <c r="J167" s="12"/>
      <c r="K167" s="12"/>
      <c r="L167" s="12"/>
      <c r="M167" s="12"/>
      <c r="N167" s="132"/>
      <c r="O167" s="12"/>
      <c r="P167" s="175"/>
      <c r="Q167" s="175"/>
      <c r="R167" s="175"/>
      <c r="S167" s="175"/>
      <c r="T167" s="175"/>
      <c r="U167" s="12"/>
    </row>
    <row r="168" spans="1:21" ht="14.25">
      <c r="A168" s="21"/>
      <c r="B168" s="130"/>
      <c r="C168" s="12"/>
      <c r="D168" s="12"/>
      <c r="E168" s="12"/>
      <c r="F168" s="12"/>
      <c r="G168" s="12"/>
      <c r="H168" s="12"/>
      <c r="I168" s="12"/>
      <c r="J168" s="12"/>
      <c r="K168" s="12"/>
      <c r="L168" s="12"/>
      <c r="M168" s="12"/>
      <c r="N168" s="132"/>
      <c r="O168" s="12"/>
      <c r="P168" s="177"/>
      <c r="Q168" s="177"/>
      <c r="R168" s="177"/>
      <c r="S168" s="177"/>
      <c r="T168" s="177"/>
      <c r="U168" s="12"/>
    </row>
    <row r="169" spans="1:21" ht="14.25">
      <c r="A169" s="21"/>
      <c r="B169" s="130"/>
      <c r="C169" s="12"/>
      <c r="D169" s="12"/>
      <c r="E169" s="12"/>
      <c r="F169" s="12"/>
      <c r="G169" s="12"/>
      <c r="H169" s="12"/>
      <c r="I169" s="12"/>
      <c r="J169" s="12"/>
      <c r="K169" s="12"/>
      <c r="L169" s="12"/>
      <c r="M169" s="12"/>
      <c r="N169" s="132"/>
      <c r="O169" s="12"/>
      <c r="P169" s="178"/>
      <c r="Q169" s="178"/>
      <c r="R169" s="178"/>
      <c r="S169" s="178"/>
      <c r="T169" s="178"/>
      <c r="U169" s="12"/>
    </row>
    <row r="170" spans="1:21" ht="14.25">
      <c r="A170" s="21"/>
      <c r="B170" s="130"/>
      <c r="C170" s="12"/>
      <c r="D170" s="12"/>
      <c r="E170" s="12"/>
      <c r="F170" s="12"/>
      <c r="G170" s="12"/>
      <c r="H170" s="12"/>
      <c r="I170" s="12"/>
      <c r="J170" s="12"/>
      <c r="K170" s="12"/>
      <c r="L170" s="12"/>
      <c r="M170" s="12"/>
      <c r="N170" s="132"/>
      <c r="O170" s="12"/>
      <c r="P170" s="178"/>
      <c r="Q170" s="178"/>
      <c r="R170" s="178"/>
      <c r="S170" s="178"/>
      <c r="T170" s="178"/>
      <c r="U170" s="12"/>
    </row>
    <row r="171" spans="1:21" ht="14.25">
      <c r="A171" s="21"/>
      <c r="B171" s="130"/>
      <c r="C171" s="12"/>
      <c r="D171" s="12"/>
      <c r="E171" s="12"/>
      <c r="F171" s="12"/>
      <c r="G171" s="12"/>
      <c r="H171" s="12"/>
      <c r="I171" s="12"/>
      <c r="J171" s="12"/>
      <c r="K171" s="12"/>
      <c r="L171" s="12"/>
      <c r="M171" s="12"/>
      <c r="N171" s="132"/>
      <c r="O171" s="12"/>
      <c r="P171" s="178"/>
      <c r="Q171" s="178"/>
      <c r="R171" s="178"/>
      <c r="S171" s="178"/>
      <c r="T171" s="178"/>
      <c r="U171" s="12"/>
    </row>
    <row r="172" spans="1:21" ht="14.25">
      <c r="A172" s="21"/>
      <c r="B172" s="130"/>
      <c r="C172" s="12"/>
      <c r="D172" s="12"/>
      <c r="E172" s="12"/>
      <c r="F172" s="12"/>
      <c r="G172" s="12"/>
      <c r="H172" s="12"/>
      <c r="I172" s="12"/>
      <c r="J172" s="12"/>
      <c r="K172" s="12"/>
      <c r="L172" s="12"/>
      <c r="M172" s="12"/>
      <c r="N172" s="132"/>
      <c r="O172" s="12"/>
      <c r="P172" s="179"/>
      <c r="Q172" s="179"/>
      <c r="R172" s="179"/>
      <c r="S172" s="179"/>
      <c r="T172" s="179"/>
      <c r="U172" s="12"/>
    </row>
    <row r="173" spans="1:21" ht="14.25">
      <c r="A173" s="21"/>
      <c r="B173" s="130"/>
      <c r="C173" s="12"/>
      <c r="D173" s="12"/>
      <c r="E173" s="12"/>
      <c r="F173" s="12"/>
      <c r="G173" s="12"/>
      <c r="H173" s="12"/>
      <c r="I173" s="12"/>
      <c r="J173" s="12"/>
      <c r="K173" s="12"/>
      <c r="L173" s="12"/>
      <c r="M173" s="12"/>
      <c r="N173" s="132"/>
      <c r="O173" s="12"/>
      <c r="P173" s="177"/>
      <c r="Q173" s="167"/>
      <c r="R173" s="177"/>
      <c r="S173" s="167"/>
      <c r="T173" s="177"/>
      <c r="U173" s="12"/>
    </row>
  </sheetData>
  <sheetProtection password="D8DB" sheet="1"/>
  <mergeCells count="5">
    <mergeCell ref="P3:R3"/>
    <mergeCell ref="L8:N8"/>
    <mergeCell ref="M118:O118"/>
    <mergeCell ref="N20:R20"/>
    <mergeCell ref="P21:S21"/>
  </mergeCells>
  <phoneticPr fontId="0" type="noConversion"/>
  <hyperlinks>
    <hyperlink ref="B21" r:id="rId1" display="mailto:surveys@mackayresearchgroup.com" xr:uid="{00000000-0004-0000-0500-000000000000}"/>
    <hyperlink ref="P21" r:id="rId2" display="mailto:surveys@mackayresearchgroup.com" xr:uid="{00000000-0004-0000-0500-000001000000}"/>
    <hyperlink ref="N20" r:id="rId3" display="mailto:info@mackayresearchgroup.com" xr:uid="{00000000-0004-0000-0500-000002000000}"/>
    <hyperlink ref="B3" r:id="rId4" display="mailto:surveys@mackayresearchgroup.com" xr:uid="{00000000-0004-0000-0500-000003000000}"/>
    <hyperlink ref="P3" r:id="rId5" display="mailto:surveys@mackayresearchgroup.com" xr:uid="{00000000-0004-0000-0500-000004000000}"/>
    <hyperlink ref="N20:R20" r:id="rId6" display="mailto:taylor@mackayresearchgroup.com" xr:uid="{00000000-0004-0000-0500-000005000000}"/>
  </hyperlinks>
  <pageMargins left="0.25" right="0.25" top="0.25" bottom="0.25" header="0.25" footer="0.25"/>
  <pageSetup orientation="portrait" r:id="rId7"/>
  <headerFooter alignWithMargins="0"/>
  <rowBreaks count="4" manualBreakCount="4">
    <brk id="34" max="21" man="1"/>
    <brk id="84" max="21" man="1"/>
    <brk id="117" max="21" man="1"/>
    <brk id="165" max="2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956"/>
  <sheetViews>
    <sheetView zoomScaleNormal="100" zoomScaleSheetLayoutView="75" workbookViewId="0">
      <selection activeCell="B1" sqref="B1"/>
    </sheetView>
  </sheetViews>
  <sheetFormatPr defaultRowHeight="15"/>
  <cols>
    <col min="1" max="1" width="25.7109375" style="4" customWidth="1"/>
    <col min="2" max="2" width="15.7109375" style="4" customWidth="1"/>
    <col min="3" max="3" width="12.5703125" customWidth="1"/>
    <col min="4" max="4" width="13.140625" style="55" customWidth="1"/>
    <col min="5" max="5" width="10.5703125" style="55" customWidth="1"/>
    <col min="6" max="8" width="9.140625" style="55" customWidth="1"/>
  </cols>
  <sheetData>
    <row r="1" spans="1:13" ht="12.75" customHeight="1">
      <c r="A1" s="4" t="s">
        <v>86</v>
      </c>
      <c r="B1" s="187">
        <f>Yr</f>
        <v>2023</v>
      </c>
      <c r="C1" s="1"/>
      <c r="D1" s="1"/>
    </row>
    <row r="2" spans="1:13" ht="12.75" customHeight="1">
      <c r="A2" s="4" t="s">
        <v>191</v>
      </c>
      <c r="B2" s="5" t="s">
        <v>454</v>
      </c>
      <c r="C2" t="s">
        <v>12</v>
      </c>
      <c r="D2" t="s">
        <v>687</v>
      </c>
      <c r="E2" t="s">
        <v>688</v>
      </c>
      <c r="F2" t="s">
        <v>689</v>
      </c>
      <c r="G2" t="s">
        <v>690</v>
      </c>
      <c r="H2" t="s">
        <v>87</v>
      </c>
      <c r="I2" t="s">
        <v>88</v>
      </c>
      <c r="J2" t="s">
        <v>83</v>
      </c>
      <c r="K2" t="s">
        <v>84</v>
      </c>
      <c r="L2" t="s">
        <v>691</v>
      </c>
      <c r="M2" t="s">
        <v>90</v>
      </c>
    </row>
    <row r="3" spans="1:13">
      <c r="A3" s="4" t="s">
        <v>139</v>
      </c>
      <c r="B3" s="4" t="str">
        <f>IF(ISBLANK(ID),"b",ID)</f>
        <v>b</v>
      </c>
      <c r="C3" s="4" t="str">
        <f>IF(ISBLANK(Name),"b",Name)</f>
        <v>b</v>
      </c>
      <c r="D3" s="4" t="str">
        <f>IF(ISBLANK(Person),"b",Person)</f>
        <v>b</v>
      </c>
      <c r="E3" s="4" t="str">
        <f>IF(ISBLANK(eaddr),"b",eaddr)</f>
        <v>b</v>
      </c>
      <c r="H3" s="4" t="str">
        <f>IF(ISBLANK(Addr1),"b",Addr1)</f>
        <v>b</v>
      </c>
      <c r="I3" s="4" t="str">
        <f>IF(ISBLANK(Addr2),"b",Addr2)</f>
        <v>b</v>
      </c>
      <c r="J3" s="4" t="str">
        <f>IF(ISBLANK(City),"b",City)</f>
        <v>b</v>
      </c>
      <c r="K3" s="4" t="str">
        <f>IF(ISBLANK(State),"b",State)</f>
        <v>b</v>
      </c>
      <c r="L3" s="180" t="str">
        <f>IF(ISBLANK(Zipcode),"b",Zipcode)</f>
        <v>b</v>
      </c>
      <c r="M3" s="4" t="str">
        <f>IF(ISBLANK(Phone),"b",Phone)</f>
        <v>b</v>
      </c>
    </row>
    <row r="4" spans="1:13" ht="12.75" customHeight="1">
      <c r="A4" s="4" t="s">
        <v>81</v>
      </c>
      <c r="B4" s="4" t="s">
        <v>196</v>
      </c>
      <c r="D4" s="4" t="str">
        <f>IF(ISBLANK(Title),"b",Title)</f>
        <v>b</v>
      </c>
    </row>
    <row r="5" spans="1:13" ht="12.75" customHeight="1">
      <c r="A5" s="4" t="s">
        <v>82</v>
      </c>
      <c r="B5" s="4" t="s">
        <v>196</v>
      </c>
    </row>
    <row r="6" spans="1:13" ht="12.75" customHeight="1">
      <c r="A6" s="4" t="s">
        <v>12</v>
      </c>
      <c r="B6" s="4" t="s">
        <v>196</v>
      </c>
    </row>
    <row r="7" spans="1:13" ht="12.75" customHeight="1">
      <c r="A7" s="4" t="s">
        <v>87</v>
      </c>
      <c r="B7" s="4" t="s">
        <v>196</v>
      </c>
    </row>
    <row r="8" spans="1:13" ht="12.75" customHeight="1">
      <c r="A8" s="4" t="s">
        <v>88</v>
      </c>
      <c r="B8" s="4" t="s">
        <v>196</v>
      </c>
      <c r="C8" s="4"/>
      <c r="D8"/>
    </row>
    <row r="9" spans="1:13" ht="12.75" customHeight="1">
      <c r="A9" s="4" t="s">
        <v>83</v>
      </c>
      <c r="B9" s="4" t="s">
        <v>196</v>
      </c>
      <c r="C9" s="4"/>
      <c r="D9"/>
    </row>
    <row r="10" spans="1:13" ht="12.75" customHeight="1">
      <c r="A10" s="4" t="s">
        <v>84</v>
      </c>
      <c r="B10" s="4" t="s">
        <v>196</v>
      </c>
      <c r="C10" s="4"/>
      <c r="D10"/>
    </row>
    <row r="11" spans="1:13" ht="12.75" customHeight="1">
      <c r="A11" s="4" t="s">
        <v>89</v>
      </c>
      <c r="B11" s="180" t="str">
        <f>IF(ISBLANK(Zipcode),"b",Zipcode)</f>
        <v>b</v>
      </c>
      <c r="D11"/>
    </row>
    <row r="12" spans="1:13" ht="12.75" customHeight="1">
      <c r="A12" s="4" t="s">
        <v>90</v>
      </c>
      <c r="B12" s="4" t="s">
        <v>196</v>
      </c>
      <c r="C12" s="4"/>
      <c r="D12"/>
    </row>
    <row r="13" spans="1:13" ht="12.75" customHeight="1">
      <c r="A13" s="220" t="s">
        <v>37</v>
      </c>
      <c r="B13" s="220" t="s">
        <v>196</v>
      </c>
      <c r="C13" s="4"/>
      <c r="D13"/>
    </row>
    <row r="14" spans="1:13" ht="12.75" customHeight="1">
      <c r="A14" s="4" t="s">
        <v>91</v>
      </c>
      <c r="B14" s="4" t="s">
        <v>196</v>
      </c>
      <c r="C14" s="4"/>
      <c r="D14"/>
    </row>
    <row r="15" spans="1:13" ht="12.75" customHeight="1">
      <c r="A15" s="4" t="s">
        <v>611</v>
      </c>
      <c r="B15" s="63" t="str">
        <f>IF(ISBLANK(Market),"b",Market)</f>
        <v>b</v>
      </c>
      <c r="C15" s="4"/>
      <c r="D15"/>
    </row>
    <row r="16" spans="1:13" ht="12.75" customHeight="1">
      <c r="A16" s="4" t="s">
        <v>202</v>
      </c>
      <c r="B16" s="63" t="str">
        <f>IF(ISBLANK(EMP_Out),"b",EMP_Out)</f>
        <v>b</v>
      </c>
      <c r="C16" s="4"/>
    </row>
    <row r="17" spans="1:6" ht="12.75" customHeight="1">
      <c r="A17" s="4" t="s">
        <v>203</v>
      </c>
      <c r="B17" s="63" t="str">
        <f>IF(ISBLANK(EMP_Inside),"b",EMP_Inside)</f>
        <v>b</v>
      </c>
      <c r="C17" s="4"/>
    </row>
    <row r="18" spans="1:6" ht="12.75" customHeight="1">
      <c r="A18" s="4" t="s">
        <v>221</v>
      </c>
      <c r="B18" s="63" t="str">
        <f>IF(ISBLANK(EMP_SlsMgr),"b",EMP_SlsMgr)</f>
        <v>b</v>
      </c>
      <c r="C18" s="4"/>
    </row>
    <row r="19" spans="1:6" ht="12.75" customHeight="1">
      <c r="A19" s="4" t="s">
        <v>520</v>
      </c>
      <c r="B19" s="63" t="str">
        <f>IF(ISBLANK(EMP_Mdse),"b",EMP_Mdse)</f>
        <v>b</v>
      </c>
      <c r="C19" s="4"/>
    </row>
    <row r="20" spans="1:6" ht="12.75" customHeight="1">
      <c r="A20" s="4" t="s">
        <v>220</v>
      </c>
      <c r="B20" s="63" t="str">
        <f>IF(ISBLANK(EMP_Driver),"b",EMP_Driver)</f>
        <v>b</v>
      </c>
      <c r="C20" s="4"/>
      <c r="E20" s="4"/>
      <c r="F20" s="63"/>
    </row>
    <row r="21" spans="1:6" ht="12.75" customHeight="1">
      <c r="A21" s="4" t="s">
        <v>206</v>
      </c>
      <c r="B21" s="63" t="str">
        <f>IF(ISBLANK(EMP_WHS),"b",EMP_WHS)</f>
        <v>b</v>
      </c>
      <c r="C21" s="4"/>
    </row>
    <row r="22" spans="1:6" ht="12.75" customHeight="1">
      <c r="A22" s="441" t="s">
        <v>698</v>
      </c>
      <c r="B22" s="457" t="str">
        <f>IF(ISBLANK(EMP_Pur),"b",EMP_Pur)</f>
        <v>b</v>
      </c>
      <c r="C22" s="4" t="s">
        <v>728</v>
      </c>
    </row>
    <row r="23" spans="1:6" ht="12.75" customHeight="1">
      <c r="A23" s="441" t="s">
        <v>699</v>
      </c>
      <c r="B23" s="457" t="str">
        <f>IF(ISBLANK(EMP_Mktg),"b",EMP_Mktg)</f>
        <v>b</v>
      </c>
    </row>
    <row r="24" spans="1:6" ht="12.75" customHeight="1">
      <c r="A24" s="441" t="s">
        <v>700</v>
      </c>
      <c r="B24" s="457" t="str">
        <f>IF(ISBLANK(EMP_Acctg),"b",EMP_Acctg)</f>
        <v>b</v>
      </c>
      <c r="C24" s="4"/>
    </row>
    <row r="25" spans="1:6" ht="12.75" customHeight="1">
      <c r="A25" s="441" t="s">
        <v>701</v>
      </c>
      <c r="B25" s="457" t="str">
        <f>IF(ISBLANK(EMP_HR),"b",EMP_HR)</f>
        <v>b</v>
      </c>
      <c r="C25" s="4"/>
    </row>
    <row r="26" spans="1:6" ht="12.75" customHeight="1">
      <c r="A26" s="441" t="s">
        <v>702</v>
      </c>
      <c r="B26" s="457" t="str">
        <f>IF(ISBLANK(EMP_IT),"b",EMP_IT)</f>
        <v>b</v>
      </c>
      <c r="C26" s="1"/>
    </row>
    <row r="27" spans="1:6" ht="12.75" customHeight="1">
      <c r="A27" s="4" t="s">
        <v>92</v>
      </c>
      <c r="B27" s="406" t="str">
        <f>IF(Emp&gt;0,Oemp,"b")</f>
        <v>b</v>
      </c>
      <c r="C27" s="1"/>
    </row>
    <row r="28" spans="1:6" ht="12.75" customHeight="1">
      <c r="A28" s="4" t="s">
        <v>173</v>
      </c>
      <c r="B28" s="63" t="str">
        <f>IF(ISBLANK(EMP_Exec),"b",EMP_Exec)</f>
        <v>b</v>
      </c>
      <c r="C28" s="4"/>
    </row>
    <row r="29" spans="1:6" ht="12.75" customHeight="1">
      <c r="A29" s="1" t="s">
        <v>93</v>
      </c>
      <c r="B29" s="19" t="str">
        <f>IF(Emp&gt;0,Emp,"b")</f>
        <v>b</v>
      </c>
      <c r="C29" s="4"/>
    </row>
    <row r="30" spans="1:6" ht="12.75" customHeight="1">
      <c r="A30" s="4" t="s">
        <v>174</v>
      </c>
      <c r="B30" s="13" t="str">
        <f>IF(ISBLANK(CUST),"b",CUST)</f>
        <v>b</v>
      </c>
      <c r="C30" s="4"/>
    </row>
    <row r="31" spans="1:6" ht="12.75" customHeight="1">
      <c r="A31" s="4" t="s">
        <v>260</v>
      </c>
      <c r="B31" s="325" t="str">
        <f>IF((SKU&gt;0),SKU,"b")</f>
        <v>b</v>
      </c>
      <c r="C31" s="4"/>
    </row>
    <row r="32" spans="1:6" ht="12.75" customHeight="1">
      <c r="A32" s="4" t="s">
        <v>262</v>
      </c>
      <c r="B32" s="13" t="str">
        <f>IF(ISBLANK(Orders),"b",Orders)</f>
        <v>b</v>
      </c>
      <c r="C32" s="4"/>
    </row>
    <row r="33" spans="1:3" ht="12.75" customHeight="1">
      <c r="A33" s="4" t="s">
        <v>261</v>
      </c>
      <c r="B33" s="63" t="str">
        <f>IF(ISBLANK(Lines),"b",Lines)</f>
        <v>b</v>
      </c>
      <c r="C33" s="4"/>
    </row>
    <row r="34" spans="1:3" ht="12.75" customHeight="1">
      <c r="A34" s="4" t="s">
        <v>263</v>
      </c>
      <c r="B34" s="13" t="str">
        <f>IF(ISBLANK(Shipments),"b",Shipments)</f>
        <v>b</v>
      </c>
      <c r="C34" s="4"/>
    </row>
    <row r="35" spans="1:3" ht="12.75" customHeight="1">
      <c r="A35" s="4" t="s">
        <v>619</v>
      </c>
      <c r="B35" s="428" t="str">
        <f>IF(SKU=0,"b",IF(SKU&gt;0,SKU_Cigarettes,0))</f>
        <v>b</v>
      </c>
      <c r="C35" s="4"/>
    </row>
    <row r="36" spans="1:3" ht="12.75" customHeight="1">
      <c r="A36" s="4" t="s">
        <v>620</v>
      </c>
      <c r="B36" s="428" t="str">
        <f>IF(SKU=0,"b",IF(SKU&gt;0,SKU_Tobacco,0))</f>
        <v>b</v>
      </c>
      <c r="C36" s="4"/>
    </row>
    <row r="37" spans="1:3" ht="12.75" customHeight="1">
      <c r="A37" s="4" t="s">
        <v>621</v>
      </c>
      <c r="B37" s="428" t="str">
        <f>IF(SKU=0,"b",IF(SKU&gt;0,SKU_Candy,0))</f>
        <v>b</v>
      </c>
      <c r="C37" s="4"/>
    </row>
    <row r="38" spans="1:3" ht="12.75" customHeight="1">
      <c r="A38" s="4" t="s">
        <v>622</v>
      </c>
      <c r="B38" s="428" t="str">
        <f>IF(SKU=0,"b",IF(SKU&gt;0,SKU_Food,0))</f>
        <v>b</v>
      </c>
      <c r="C38" s="4"/>
    </row>
    <row r="39" spans="1:3" ht="12.75" customHeight="1">
      <c r="A39" s="4" t="s">
        <v>717</v>
      </c>
      <c r="B39" s="428" t="str">
        <f>IF(SKU=0,"b",IF(SKU&gt;0,SKU_Frozen,0))</f>
        <v>b</v>
      </c>
      <c r="C39" s="4" t="s">
        <v>718</v>
      </c>
    </row>
    <row r="40" spans="1:3" ht="12.75" customHeight="1">
      <c r="A40" s="4" t="s">
        <v>626</v>
      </c>
      <c r="B40" s="428" t="str">
        <f>IF(SKU=0,"b",IF(SKU&gt;0,SKU_Dairy,0))</f>
        <v>b</v>
      </c>
      <c r="C40" s="4"/>
    </row>
    <row r="41" spans="1:3" ht="12.75" customHeight="1">
      <c r="A41" s="4" t="s">
        <v>623</v>
      </c>
      <c r="B41" s="428" t="str">
        <f>IF(SKU=0,"b",IF(SKU&gt;0,SKU_Grocery,0))</f>
        <v>b</v>
      </c>
      <c r="C41" s="4"/>
    </row>
    <row r="42" spans="1:3" ht="12.75" customHeight="1">
      <c r="A42" s="4" t="s">
        <v>624</v>
      </c>
      <c r="B42" s="428" t="str">
        <f>IF(SKU=0,"b",IF(SKU&gt;0,SKU_HBC,0))</f>
        <v>b</v>
      </c>
      <c r="C42" s="4"/>
    </row>
    <row r="43" spans="1:3" ht="12.75" customHeight="1">
      <c r="A43" s="4" t="s">
        <v>625</v>
      </c>
      <c r="B43" s="428" t="str">
        <f>IF(SKU=0,"b",IF(SKU&gt;0,SKU_GenlMdse,0))</f>
        <v>b</v>
      </c>
      <c r="C43" s="4"/>
    </row>
    <row r="44" spans="1:3" ht="12.75" customHeight="1">
      <c r="A44" s="4" t="s">
        <v>627</v>
      </c>
      <c r="B44" s="428" t="str">
        <f>IF(SKU=0,"b",IF(SKU&gt;0,SKU_Beverage,0))</f>
        <v>b</v>
      </c>
      <c r="C44" s="4"/>
    </row>
    <row r="45" spans="1:3" ht="12.75" customHeight="1">
      <c r="A45" s="4" t="s">
        <v>628</v>
      </c>
      <c r="B45" s="428" t="str">
        <f>IF(SKU=0,"b",IF(SKU&gt;0,SKU_Paper,0))</f>
        <v>b</v>
      </c>
      <c r="C45" s="4"/>
    </row>
    <row r="46" spans="1:3" ht="12.75" customHeight="1">
      <c r="A46" s="4" t="s">
        <v>629</v>
      </c>
      <c r="B46" s="428" t="str">
        <f>IF(SKU=0,"b",IF(SKU&gt;0,SKU_Auto,0))</f>
        <v>b</v>
      </c>
      <c r="C46" s="158"/>
    </row>
    <row r="47" spans="1:3" ht="12.75" customHeight="1">
      <c r="A47" s="4" t="s">
        <v>630</v>
      </c>
      <c r="B47" s="428" t="str">
        <f>IF(SKU=0,"b",IF(SKU&gt;0,SKU_OPROD,0))</f>
        <v>b</v>
      </c>
      <c r="C47" s="1"/>
    </row>
    <row r="48" spans="1:3" ht="12.75" customHeight="1">
      <c r="A48" s="4" t="s">
        <v>474</v>
      </c>
      <c r="B48" s="13" t="str">
        <f>IF(ISBLANK(SqFt),"b",SqFt)</f>
        <v>b</v>
      </c>
      <c r="C48" s="1"/>
    </row>
    <row r="49" spans="1:3" ht="12.75" customHeight="1">
      <c r="A49" s="4" t="s">
        <v>705</v>
      </c>
      <c r="B49" s="13" t="str">
        <f>IF(ISBLANK(SqFt_Cold),"b",SqFt_Cold)</f>
        <v>b</v>
      </c>
      <c r="C49" s="4" t="s">
        <v>706</v>
      </c>
    </row>
    <row r="50" spans="1:3" ht="12.75" customHeight="1">
      <c r="A50" s="265" t="s">
        <v>266</v>
      </c>
      <c r="B50" s="256" t="str">
        <f>IFERROR(NS_WHS/NS*100,"B")</f>
        <v>B</v>
      </c>
      <c r="C50" s="1"/>
    </row>
    <row r="51" spans="1:3" ht="12.75" customHeight="1">
      <c r="A51" s="265" t="s">
        <v>267</v>
      </c>
      <c r="B51" s="256" t="str">
        <f>IFERROR(NS_SPEC/NS*100,"B")</f>
        <v>B</v>
      </c>
      <c r="C51" s="1"/>
    </row>
    <row r="52" spans="1:3" ht="12.75" customHeight="1">
      <c r="A52" s="265" t="s">
        <v>268</v>
      </c>
      <c r="B52" s="256">
        <v>0</v>
      </c>
      <c r="C52" s="1"/>
    </row>
    <row r="53" spans="1:3" ht="12.75" customHeight="1">
      <c r="A53" s="263" t="s">
        <v>270</v>
      </c>
      <c r="B53" s="264" t="str">
        <f>IF(ISBLANK(CSH),"b",CSH)</f>
        <v>b</v>
      </c>
      <c r="C53" s="1"/>
    </row>
    <row r="54" spans="1:3" ht="12.75" customHeight="1">
      <c r="A54" s="4" t="s">
        <v>669</v>
      </c>
      <c r="B54" s="433" t="str">
        <f>IF(ISBLANK(ExciseTax),"b",ExciseTax)</f>
        <v>b</v>
      </c>
      <c r="C54" s="1"/>
    </row>
    <row r="55" spans="1:3" ht="12.75" customHeight="1">
      <c r="A55" s="4" t="s">
        <v>612</v>
      </c>
      <c r="B55" s="63" t="str">
        <f>IF(ISBLANK(ElecInv),"b",ElecInv)</f>
        <v>b</v>
      </c>
      <c r="C55" s="1"/>
    </row>
    <row r="56" spans="1:3" ht="12.75" customHeight="1">
      <c r="A56" s="4" t="s">
        <v>613</v>
      </c>
      <c r="B56" s="13" t="str">
        <f>IF(ISBLANK(TaxStamped),"b",TaxStamped)</f>
        <v>b</v>
      </c>
      <c r="C56" s="1"/>
    </row>
    <row r="57" spans="1:3" ht="12.75" customHeight="1">
      <c r="A57" s="4" t="s">
        <v>614</v>
      </c>
      <c r="B57" s="63" t="str">
        <f>IF(ISBLANK(FairTrade),"b",FairTrade)</f>
        <v>b</v>
      </c>
      <c r="C57" s="1"/>
    </row>
    <row r="58" spans="1:3" ht="12.75" customHeight="1">
      <c r="A58" s="4" t="s">
        <v>615</v>
      </c>
      <c r="B58" s="63">
        <f>IF(ISBLANK(NonFair),"b",NonFair)</f>
        <v>100</v>
      </c>
      <c r="C58" s="1"/>
    </row>
    <row r="59" spans="1:3" ht="12.75" customHeight="1">
      <c r="A59" s="4" t="s">
        <v>416</v>
      </c>
      <c r="B59" s="63" t="str">
        <f>IF(ISBLANK(NS_Online),"b",NS_Online)</f>
        <v>b</v>
      </c>
      <c r="C59" s="4" t="s">
        <v>707</v>
      </c>
    </row>
    <row r="60" spans="1:3" ht="12.75" customHeight="1">
      <c r="A60" s="224" t="s">
        <v>192</v>
      </c>
      <c r="B60" s="200"/>
      <c r="C60" s="1"/>
    </row>
    <row r="61" spans="1:3" ht="12.75" customHeight="1">
      <c r="A61" s="262" t="s">
        <v>95</v>
      </c>
      <c r="B61" s="274" t="str">
        <f>IF(ISBLANK(AAR),IF(AR&gt;0,AR,"b"),AAR)</f>
        <v>b</v>
      </c>
    </row>
    <row r="62" spans="1:3" ht="12.75" customHeight="1">
      <c r="A62" s="262" t="s">
        <v>96</v>
      </c>
      <c r="B62" s="275" t="str">
        <f>IF(ISBLANK(AVG),IF(Inv&lt;&gt;0,Inv,"b"),AVG)</f>
        <v>b</v>
      </c>
      <c r="C62" s="4"/>
    </row>
    <row r="63" spans="1:3" ht="12.75" customHeight="1">
      <c r="A63" s="262" t="s">
        <v>175</v>
      </c>
      <c r="B63" s="276" t="str">
        <f>IF(ISBLANK(AAP),IF(AP&gt;0,AP,"b"),AAP)</f>
        <v>b</v>
      </c>
      <c r="C63" s="4"/>
    </row>
    <row r="64" spans="1:3" ht="12.75" customHeight="1">
      <c r="A64" s="4" t="s">
        <v>616</v>
      </c>
      <c r="B64" s="63" t="str">
        <f>IF(ISBLANK(Retail),"b",Retail)</f>
        <v>b</v>
      </c>
      <c r="C64" s="4"/>
    </row>
    <row r="65" spans="1:4" ht="12.75" customHeight="1">
      <c r="A65" s="4" t="s">
        <v>617</v>
      </c>
      <c r="B65" s="63" t="str">
        <f>IF(ISBLANK(Loc_Retail),"b",Loc_Retail)</f>
        <v>b</v>
      </c>
      <c r="C65" s="4"/>
    </row>
    <row r="66" spans="1:4" ht="12.75" customHeight="1">
      <c r="A66" s="4" t="s">
        <v>618</v>
      </c>
      <c r="B66" s="63" t="str">
        <f>IF(ISBLANK(NS_Retail),"b",NS_Retail)</f>
        <v>b</v>
      </c>
      <c r="C66" s="4"/>
    </row>
    <row r="67" spans="1:4" ht="12.75" customHeight="1">
      <c r="A67" s="4" t="s">
        <v>552</v>
      </c>
      <c r="B67" s="13" t="str">
        <f>IF(ISBLANK(LOC),"b",LOC)</f>
        <v>b</v>
      </c>
      <c r="C67" s="4" t="s">
        <v>716</v>
      </c>
    </row>
    <row r="68" spans="1:4" ht="12.75" customHeight="1">
      <c r="A68" s="4" t="s">
        <v>97</v>
      </c>
      <c r="B68" s="270">
        <f>IF(LIFO=1,LIFO,0)</f>
        <v>0</v>
      </c>
      <c r="C68" s="7"/>
      <c r="D68" s="53"/>
    </row>
    <row r="69" spans="1:4" ht="12.75" customHeight="1">
      <c r="A69" s="4" t="s">
        <v>98</v>
      </c>
      <c r="B69" s="181">
        <f>IF(ISBLANK(Add),0,(Add))</f>
        <v>0</v>
      </c>
      <c r="C69" s="4"/>
      <c r="D69" s="54"/>
    </row>
    <row r="70" spans="1:4" ht="12.75" customHeight="1">
      <c r="A70" s="4" t="s">
        <v>99</v>
      </c>
      <c r="B70" s="181">
        <f>IF(ISBLANK(End),0,(End))</f>
        <v>0</v>
      </c>
      <c r="C70" s="4"/>
      <c r="D70" s="54"/>
    </row>
    <row r="71" spans="1:4" ht="12.75" customHeight="1">
      <c r="A71" s="262" t="s">
        <v>102</v>
      </c>
      <c r="B71" s="233" t="str">
        <f>IF(ISBLANK(Cash),"b",Cash)</f>
        <v>b</v>
      </c>
      <c r="C71" s="4"/>
    </row>
    <row r="72" spans="1:4" ht="12.75" customHeight="1">
      <c r="A72" s="262" t="s">
        <v>103</v>
      </c>
      <c r="B72" s="233" t="str">
        <f>IF(ISBLANK(AR),"b",AR)</f>
        <v>b</v>
      </c>
      <c r="C72" s="4"/>
    </row>
    <row r="73" spans="1:4" ht="12.75" customHeight="1">
      <c r="A73" s="220" t="s">
        <v>176</v>
      </c>
      <c r="B73" s="188" t="str">
        <f>IF(ISBLANK(NEWINV),"b",NEWINV)</f>
        <v>b</v>
      </c>
      <c r="C73" s="4"/>
    </row>
    <row r="74" spans="1:4" ht="12.75" customHeight="1">
      <c r="A74" s="220" t="s">
        <v>177</v>
      </c>
      <c r="B74" s="188" t="str">
        <f>IF(ISBLANK(USEDINV),"b",USEDINV)</f>
        <v>b</v>
      </c>
      <c r="C74" s="4"/>
    </row>
    <row r="75" spans="1:4" ht="12.75" customHeight="1">
      <c r="A75" s="220" t="s">
        <v>178</v>
      </c>
      <c r="B75" s="188" t="str">
        <f>IF(ISBLANK(PARTSINV),"b",PARTSINV)</f>
        <v>b</v>
      </c>
      <c r="C75" s="4"/>
    </row>
    <row r="76" spans="1:4" ht="12.75" customHeight="1">
      <c r="A76" s="220" t="s">
        <v>179</v>
      </c>
      <c r="B76" s="189" t="str">
        <f>IF(ISBLANK(OINV),"b",OINV)</f>
        <v>b</v>
      </c>
      <c r="C76" s="1"/>
    </row>
    <row r="77" spans="1:4" ht="12.75" customHeight="1">
      <c r="A77" s="262" t="s">
        <v>104</v>
      </c>
      <c r="B77" s="233" t="str">
        <f>IF(Inv&gt;0,Inv,"b")</f>
        <v>b</v>
      </c>
      <c r="C77" s="1"/>
    </row>
    <row r="78" spans="1:4" ht="12.75" customHeight="1">
      <c r="A78" s="262" t="s">
        <v>105</v>
      </c>
      <c r="B78" s="277" t="str">
        <f>IF((CA&gt;0),(Oca),"b")</f>
        <v>b</v>
      </c>
      <c r="C78" s="4"/>
    </row>
    <row r="79" spans="1:4" ht="12.75" customHeight="1">
      <c r="A79" s="224" t="s">
        <v>101</v>
      </c>
      <c r="B79" s="193" t="str">
        <f>IF(CA&lt;&gt;0,CA,"b")</f>
        <v>b</v>
      </c>
      <c r="C79" s="4"/>
    </row>
    <row r="80" spans="1:4" ht="12.75" customHeight="1">
      <c r="A80" s="4" t="s">
        <v>194</v>
      </c>
      <c r="B80" s="188" t="s">
        <v>196</v>
      </c>
      <c r="C80" s="4"/>
    </row>
    <row r="81" spans="1:3" ht="12.75" customHeight="1">
      <c r="A81" s="4" t="s">
        <v>195</v>
      </c>
      <c r="B81" s="188" t="s">
        <v>196</v>
      </c>
      <c r="C81" s="4"/>
    </row>
    <row r="82" spans="1:3" ht="12.75" customHeight="1">
      <c r="A82" s="4" t="s">
        <v>106</v>
      </c>
      <c r="B82" s="188" t="str">
        <f>IF(Fixed&lt;&gt;0,Fixed,"b")</f>
        <v>b</v>
      </c>
      <c r="C82" s="4"/>
    </row>
    <row r="83" spans="1:3" ht="12.75" customHeight="1">
      <c r="A83" s="262" t="s">
        <v>107</v>
      </c>
      <c r="B83" s="277" t="str">
        <f>IF((TA&gt;0),(OFA),"b")</f>
        <v>b</v>
      </c>
      <c r="C83" s="1"/>
    </row>
    <row r="84" spans="1:3" ht="12.75" customHeight="1">
      <c r="A84" s="224" t="s">
        <v>100</v>
      </c>
      <c r="B84" s="193" t="str">
        <f>IF(TA&lt;&gt;0,TA,"b")</f>
        <v>b</v>
      </c>
      <c r="C84" s="4"/>
    </row>
    <row r="85" spans="1:3" ht="12.75" customHeight="1">
      <c r="A85" s="262" t="s">
        <v>109</v>
      </c>
      <c r="B85" s="233" t="str">
        <f>IF(ISBLANK(AP),"b",AP)</f>
        <v>b</v>
      </c>
      <c r="C85" s="1"/>
    </row>
    <row r="86" spans="1:3" ht="12.75" customHeight="1">
      <c r="A86" s="262" t="s">
        <v>110</v>
      </c>
      <c r="B86" s="233" t="str">
        <f>IF(ISBLANK(NP),"b",NP)</f>
        <v>b</v>
      </c>
      <c r="C86" s="4"/>
    </row>
    <row r="87" spans="1:3" ht="12.75" customHeight="1">
      <c r="A87" s="262" t="s">
        <v>111</v>
      </c>
      <c r="B87" s="277" t="str">
        <f>IF((CL&gt;0),(Ocl),"b")</f>
        <v>b</v>
      </c>
      <c r="C87" s="4"/>
    </row>
    <row r="88" spans="1:3" ht="12.75" customHeight="1">
      <c r="A88" s="224" t="s">
        <v>108</v>
      </c>
      <c r="B88" s="193" t="str">
        <f>IF(CL&gt;0,CL,"b")</f>
        <v>b</v>
      </c>
      <c r="C88" s="4"/>
    </row>
    <row r="89" spans="1:3" ht="12.75" customHeight="1">
      <c r="A89" s="262" t="s">
        <v>112</v>
      </c>
      <c r="B89" s="233" t="str">
        <f>IF(ISBLANK(LTL),"b",LTL)</f>
        <v>b</v>
      </c>
      <c r="C89" s="4"/>
    </row>
    <row r="90" spans="1:3" ht="12.75" customHeight="1">
      <c r="A90" s="262" t="s">
        <v>113</v>
      </c>
      <c r="B90" s="277">
        <f>IF(ISBLANK(Loan),0,(Loan))</f>
        <v>0</v>
      </c>
      <c r="C90" s="182"/>
    </row>
    <row r="91" spans="1:3" ht="12.75" customHeight="1">
      <c r="A91" s="262" t="s">
        <v>114</v>
      </c>
      <c r="B91" s="233" t="str">
        <f>IF(Eqty&lt;&gt;TA,Eqty,"b")</f>
        <v>b</v>
      </c>
      <c r="C91" s="182"/>
    </row>
    <row r="92" spans="1:3" ht="12.75" customHeight="1">
      <c r="A92" s="224" t="s">
        <v>115</v>
      </c>
      <c r="B92" s="193" t="str">
        <f>IF(Liab&lt;&gt;0,Liab,"b")</f>
        <v>b</v>
      </c>
    </row>
    <row r="93" spans="1:3" ht="12.75" customHeight="1">
      <c r="A93" s="211" t="s">
        <v>257</v>
      </c>
      <c r="B93" s="212" t="str">
        <f>IF(Eqty&lt;&gt;0,Loan+Eqty,"b")</f>
        <v>b</v>
      </c>
    </row>
    <row r="94" spans="1:3" ht="12.75" customHeight="1">
      <c r="A94" s="224" t="s">
        <v>193</v>
      </c>
      <c r="B94" s="193"/>
    </row>
    <row r="95" spans="1:3" ht="12.75" customHeight="1">
      <c r="A95" s="260" t="s">
        <v>94</v>
      </c>
      <c r="B95" s="212" t="str">
        <f>IF(ISBLANK(Prev),"b",Prev)</f>
        <v>b</v>
      </c>
    </row>
    <row r="96" spans="1:3" ht="12.75" customHeight="1">
      <c r="A96" s="260" t="s">
        <v>116</v>
      </c>
      <c r="B96" s="259" t="str">
        <f>IF(ISBLANK(NS),"b",NS)</f>
        <v>b</v>
      </c>
    </row>
    <row r="97" spans="1:6" ht="12.75" customHeight="1">
      <c r="A97" s="220" t="s">
        <v>120</v>
      </c>
      <c r="B97" s="188" t="s">
        <v>196</v>
      </c>
    </row>
    <row r="98" spans="1:6" ht="12.75" customHeight="1">
      <c r="A98" s="220" t="s">
        <v>180</v>
      </c>
      <c r="B98" s="188" t="s">
        <v>196</v>
      </c>
    </row>
    <row r="99" spans="1:6" ht="12.75" customHeight="1">
      <c r="A99" s="220" t="s">
        <v>181</v>
      </c>
      <c r="B99" s="188" t="s">
        <v>196</v>
      </c>
    </row>
    <row r="100" spans="1:6" ht="12.75" customHeight="1">
      <c r="A100" s="407"/>
      <c r="B100" s="423" t="s">
        <v>196</v>
      </c>
      <c r="C100" s="1"/>
    </row>
    <row r="101" spans="1:6" ht="12.75" customHeight="1">
      <c r="A101" s="260" t="s">
        <v>123</v>
      </c>
      <c r="B101" s="259" t="str">
        <f>IF(COGS&lt;&gt;0,COGS,"b")</f>
        <v>b</v>
      </c>
    </row>
    <row r="102" spans="1:6" ht="12.75" customHeight="1">
      <c r="A102" s="260" t="s">
        <v>124</v>
      </c>
      <c r="B102" s="278" t="str">
        <f>IF(AND(NS&gt;0,COGS&gt;0),GP,"b")</f>
        <v>b</v>
      </c>
    </row>
    <row r="103" spans="1:6" ht="12.75" customHeight="1">
      <c r="A103" s="211" t="s">
        <v>204</v>
      </c>
      <c r="B103" s="212" t="str">
        <f>IF(ISBLANK(PA_Exec),"b",PA_Exec)</f>
        <v>b</v>
      </c>
      <c r="C103" s="1"/>
      <c r="D103" s="4"/>
      <c r="E103" s="13"/>
    </row>
    <row r="104" spans="1:6" ht="12.75" customHeight="1">
      <c r="A104" s="211" t="s">
        <v>236</v>
      </c>
      <c r="B104" s="212" t="str">
        <f>IF(ISBLANK(PA_Out),"b",PA_Out)</f>
        <v>b</v>
      </c>
      <c r="D104" s="4"/>
      <c r="E104" s="13"/>
    </row>
    <row r="105" spans="1:6" ht="12.75" customHeight="1">
      <c r="A105" s="212" t="s">
        <v>207</v>
      </c>
      <c r="B105" s="212" t="str">
        <f>IF(ISBLANK(PA_WHS),"b",PA_WHS)</f>
        <v>b</v>
      </c>
      <c r="D105" s="4"/>
      <c r="E105" s="13"/>
    </row>
    <row r="106" spans="1:6" ht="12.75" customHeight="1">
      <c r="A106" s="211" t="s">
        <v>232</v>
      </c>
      <c r="B106" s="212" t="str">
        <f>IF(ISBLANK(PA_Driver),"b",PA_Driver)</f>
        <v>b</v>
      </c>
      <c r="D106" s="4"/>
      <c r="E106" s="13"/>
    </row>
    <row r="107" spans="1:6" ht="12.75" customHeight="1">
      <c r="A107" s="211" t="s">
        <v>201</v>
      </c>
      <c r="B107" s="212" t="str">
        <f>IF(ISBLANK(PA_OTH),"b",PA_OTH)</f>
        <v>b</v>
      </c>
      <c r="D107" s="4"/>
      <c r="E107" s="13"/>
    </row>
    <row r="108" spans="1:6" ht="12.75" customHeight="1">
      <c r="A108" s="446" t="s">
        <v>367</v>
      </c>
      <c r="B108" s="212">
        <f>IF(ISBLANK(SAL),"b",SAL)</f>
        <v>0</v>
      </c>
      <c r="D108" s="4" t="s">
        <v>685</v>
      </c>
      <c r="E108" s="13"/>
    </row>
    <row r="109" spans="1:6" ht="12.75" customHeight="1">
      <c r="A109" s="446" t="s">
        <v>247</v>
      </c>
      <c r="B109" s="212" t="str">
        <f>IF(ISBLANK(PT),"b",PT)</f>
        <v>b</v>
      </c>
      <c r="D109" s="212" t="e">
        <f>IF(ISBLANK(PT_Sls),(PT*Sal_Sls/SAL),PT_Sls)</f>
        <v>#DIV/0!</v>
      </c>
      <c r="E109" s="13"/>
      <c r="F109" s="13" t="e">
        <f>D109+D124+D144</f>
        <v>#DIV/0!</v>
      </c>
    </row>
    <row r="110" spans="1:6" ht="12.75" customHeight="1">
      <c r="A110" s="446" t="s">
        <v>248</v>
      </c>
      <c r="B110" s="212" t="str">
        <f>IF(ISBLANK(GRP_INS),"b",GRP_INS)</f>
        <v>b</v>
      </c>
      <c r="D110" s="212" t="e">
        <f>IF(ISBLANK(GRP_INS_Sls),(GRP_INS*(Sal_Sls/SAL)),GRP_INS_Sls)</f>
        <v>#DIV/0!</v>
      </c>
      <c r="E110" s="13"/>
    </row>
    <row r="111" spans="1:6" ht="12.75" customHeight="1">
      <c r="A111" s="447" t="s">
        <v>676</v>
      </c>
      <c r="B111" s="212" t="str">
        <f>IF(ISBLANK(BENE),"b",BENE)</f>
        <v>b</v>
      </c>
      <c r="D111" s="212" t="e">
        <f>IF(ISBLANK(BENE_Sls),BENE*(Sal_Sls/SAL),BENE_Sls)</f>
        <v>#DIV/0!</v>
      </c>
      <c r="E111" s="13"/>
    </row>
    <row r="112" spans="1:6" ht="12.75" customHeight="1">
      <c r="A112" s="448" t="s">
        <v>162</v>
      </c>
      <c r="B112" s="212">
        <f>IF(ISBLANK(PA),"b",PA)</f>
        <v>0</v>
      </c>
      <c r="D112" s="13"/>
      <c r="E112" s="13"/>
    </row>
    <row r="113" spans="1:5" ht="12.75" customHeight="1">
      <c r="A113" s="212" t="s">
        <v>186</v>
      </c>
      <c r="B113" s="212" t="str">
        <f>IF(ISBLANK(OC),"b",OC)</f>
        <v>b</v>
      </c>
      <c r="D113" s="13"/>
      <c r="E113" s="13"/>
    </row>
    <row r="114" spans="1:5" ht="12.75" customHeight="1">
      <c r="A114" s="211" t="s">
        <v>187</v>
      </c>
      <c r="B114" s="212" t="str">
        <f>IF(ISBLANK(VEH),"b",VEH)</f>
        <v>b</v>
      </c>
      <c r="D114" s="4"/>
      <c r="E114" s="13"/>
    </row>
    <row r="115" spans="1:5" ht="12.75" customHeight="1">
      <c r="A115" s="441" t="s">
        <v>122</v>
      </c>
      <c r="B115" s="454" t="str">
        <f>IF(ISBLANK(DPR),"b",DPR)</f>
        <v>b</v>
      </c>
      <c r="C115" s="192"/>
      <c r="D115" s="4"/>
      <c r="E115" s="13"/>
    </row>
    <row r="116" spans="1:5" ht="12.75" customHeight="1">
      <c r="A116" s="211" t="s">
        <v>127</v>
      </c>
      <c r="B116" s="278" t="str">
        <f>IF((TE&gt;0),(OE),"b")</f>
        <v>b</v>
      </c>
      <c r="D116" s="4"/>
      <c r="E116" s="13"/>
    </row>
    <row r="117" spans="1:5" ht="12.75" customHeight="1">
      <c r="A117" s="260" t="s">
        <v>129</v>
      </c>
      <c r="B117" s="259" t="str">
        <f>IF(TE&lt;&gt;0,TE,"b")</f>
        <v>b</v>
      </c>
      <c r="D117" s="4"/>
      <c r="E117" s="13"/>
    </row>
    <row r="118" spans="1:5" ht="12.75" customHeight="1">
      <c r="A118" s="260" t="s">
        <v>130</v>
      </c>
      <c r="B118" s="279" t="str">
        <f>IF(AND(GP&lt;&gt;0,TE&gt;0),OP,"b")</f>
        <v>b</v>
      </c>
      <c r="D118" s="4"/>
      <c r="E118" s="13"/>
    </row>
    <row r="119" spans="1:5" ht="12.75" customHeight="1">
      <c r="A119" s="211" t="s">
        <v>131</v>
      </c>
      <c r="B119" s="212" t="str">
        <f>IF(ISBLANK(OI),"b",OI)</f>
        <v>b</v>
      </c>
      <c r="D119" s="4"/>
      <c r="E119" s="13"/>
    </row>
    <row r="120" spans="1:5" ht="12.75" customHeight="1">
      <c r="A120" s="211" t="s">
        <v>132</v>
      </c>
      <c r="B120" s="212" t="str">
        <f>IF(ISBLANK(Int),"b",Int)</f>
        <v>b</v>
      </c>
      <c r="D120" s="4"/>
      <c r="E120" s="13"/>
    </row>
    <row r="121" spans="1:5" ht="12.75" customHeight="1">
      <c r="A121" s="211" t="s">
        <v>133</v>
      </c>
      <c r="B121" s="278">
        <f>IF((PBT&lt;&gt;0),(Oex),0)</f>
        <v>0</v>
      </c>
      <c r="D121" s="4"/>
      <c r="E121" s="13"/>
    </row>
    <row r="122" spans="1:5" ht="12.75" customHeight="1">
      <c r="A122" s="260" t="s">
        <v>134</v>
      </c>
      <c r="B122" s="279" t="str">
        <f>IF(AND(GP&lt;&gt;0,TE&gt;0),PBT,"b")</f>
        <v>b</v>
      </c>
      <c r="D122" s="4"/>
      <c r="E122" s="13"/>
    </row>
    <row r="123" spans="1:5" ht="12.75" customHeight="1">
      <c r="A123" s="211" t="s">
        <v>135</v>
      </c>
      <c r="B123" s="279" t="str">
        <f>IF(ISBLANK(Tax),"b",(Tax))</f>
        <v>b</v>
      </c>
      <c r="D123" s="4" t="s">
        <v>685</v>
      </c>
      <c r="E123" s="13"/>
    </row>
    <row r="124" spans="1:5" ht="12.75" customHeight="1">
      <c r="A124" s="260" t="s">
        <v>136</v>
      </c>
      <c r="B124" s="279" t="str">
        <f>IF(ISBLANK(Tax),"b",(Net))</f>
        <v>b</v>
      </c>
      <c r="D124" s="212" t="e">
        <f>IF(ISBLANK(PT_Dist),PT*(Sal_Dist/SAL),PT_Dist)</f>
        <v>#DIV/0!</v>
      </c>
      <c r="E124" s="13"/>
    </row>
    <row r="125" spans="1:5" ht="12.75" customHeight="1">
      <c r="A125" s="407" t="s">
        <v>594</v>
      </c>
      <c r="B125" s="423" t="str">
        <f>IF(ISBLANK(GRP_INS_Dist),"b",GRP_INS_Dist)</f>
        <v>b</v>
      </c>
      <c r="D125" s="212" t="e">
        <f>IF(ISBLANK(GRP_INS_Dist),GRP_INS*(Sal_Dist/SAL),GRP_INS_Dist)</f>
        <v>#DIV/0!</v>
      </c>
      <c r="E125" s="13"/>
    </row>
    <row r="126" spans="1:5" ht="12.75" customHeight="1">
      <c r="A126" s="407" t="s">
        <v>595</v>
      </c>
      <c r="B126" s="423" t="str">
        <f>IF(ISBLANK(BENE_Dist),"b",BENE_Dist)</f>
        <v>b</v>
      </c>
      <c r="D126" s="212" t="e">
        <f>IF(ISBLANK(BENE_Dist),BENE*(Sal_Dist/SAL),BENE_Dist)</f>
        <v>#DIV/0!</v>
      </c>
      <c r="E126" s="13"/>
    </row>
    <row r="127" spans="1:5" ht="12.75" customHeight="1">
      <c r="A127" s="407" t="s">
        <v>596</v>
      </c>
      <c r="B127" s="423" t="str">
        <f>IF(PA_Dist&gt;0,PA_Dist,"b")</f>
        <v>b</v>
      </c>
      <c r="D127" s="4"/>
      <c r="E127" s="13"/>
    </row>
    <row r="128" spans="1:5" ht="12.75" customHeight="1">
      <c r="A128" s="407" t="s">
        <v>597</v>
      </c>
      <c r="B128" s="423" t="str">
        <f>IF(ISBLANK(Veh_Del),"b",Veh_Del)</f>
        <v>b</v>
      </c>
      <c r="D128" s="4"/>
      <c r="E128" s="13"/>
    </row>
    <row r="129" spans="1:5" ht="12.75" customHeight="1">
      <c r="A129" s="407" t="s">
        <v>118</v>
      </c>
      <c r="B129" s="423" t="str">
        <f>IF(ISBLANK(UT),"b",UT)</f>
        <v>b</v>
      </c>
      <c r="D129" s="4"/>
      <c r="E129" s="13"/>
    </row>
    <row r="130" spans="1:5" ht="12.75" customHeight="1">
      <c r="A130" s="407" t="s">
        <v>117</v>
      </c>
      <c r="B130" s="423" t="str">
        <f>IF(ISBLANK(RM),"b",RM)</f>
        <v>b</v>
      </c>
      <c r="D130" s="4"/>
      <c r="E130" s="13"/>
    </row>
    <row r="131" spans="1:5" ht="12.75" customHeight="1">
      <c r="A131" s="407" t="s">
        <v>119</v>
      </c>
      <c r="B131" s="423" t="str">
        <f>IF(ISBLANK(Rent),"b",Rent)</f>
        <v>b</v>
      </c>
      <c r="D131" s="4"/>
      <c r="E131" s="13"/>
    </row>
    <row r="132" spans="1:5" ht="12.75" customHeight="1">
      <c r="A132" s="407" t="s">
        <v>598</v>
      </c>
      <c r="B132" s="423" t="str">
        <f>IF(ISBLANK(FO),"b",FO)</f>
        <v>b</v>
      </c>
      <c r="D132" s="4"/>
      <c r="E132" s="13"/>
    </row>
    <row r="133" spans="1:5" ht="12.75" customHeight="1">
      <c r="D133" s="4"/>
      <c r="E133" s="13"/>
    </row>
    <row r="134" spans="1:5" ht="12.75" customHeight="1">
      <c r="A134" s="407" t="s">
        <v>599</v>
      </c>
      <c r="B134" s="423" t="str">
        <f>IF(ISBLANK(ODIST),"b",ODIST)</f>
        <v>b</v>
      </c>
      <c r="D134" s="4"/>
      <c r="E134" s="13"/>
    </row>
    <row r="135" spans="1:5" ht="12.75" customHeight="1">
      <c r="A135" s="449" t="s">
        <v>600</v>
      </c>
      <c r="B135" s="450" t="str">
        <f>IF(ISBLANK(DIST_EXP),"b",DIST_EXP)</f>
        <v>b</v>
      </c>
      <c r="D135" s="4"/>
      <c r="E135" s="13"/>
    </row>
    <row r="136" spans="1:5" ht="12.75" customHeight="1">
      <c r="A136" s="423" t="s">
        <v>582</v>
      </c>
      <c r="B136" s="423" t="str">
        <f>IF(ISBLANK(PA_AR),"b",PA_AR)</f>
        <v>b</v>
      </c>
      <c r="D136" s="4"/>
      <c r="E136" s="13"/>
    </row>
    <row r="137" spans="1:5" ht="12.75" customHeight="1">
      <c r="A137" s="423" t="s">
        <v>601</v>
      </c>
      <c r="B137" s="423" t="str">
        <f>IF(ISBLANK(PA_AP),"b",PA_AP)</f>
        <v>b</v>
      </c>
      <c r="D137" s="4"/>
      <c r="E137" s="13"/>
    </row>
    <row r="138" spans="1:5" ht="12.75" customHeight="1">
      <c r="A138" s="423" t="s">
        <v>233</v>
      </c>
      <c r="B138" s="423" t="str">
        <f>IF(ISBLANK(PA_IT),"b",PA_IT)</f>
        <v>b</v>
      </c>
      <c r="D138" s="4"/>
      <c r="E138" s="13"/>
    </row>
    <row r="139" spans="1:5" ht="12.75" customHeight="1">
      <c r="A139" s="423" t="s">
        <v>602</v>
      </c>
      <c r="B139" s="423" t="str">
        <f>IF(ISBLANK(PA_CustSvc),"b",PA_CustSvc)</f>
        <v>b</v>
      </c>
      <c r="D139" s="4"/>
      <c r="E139" s="13"/>
    </row>
    <row r="140" spans="1:5" ht="12.75" customHeight="1">
      <c r="A140" s="407" t="s">
        <v>603</v>
      </c>
      <c r="B140" s="423" t="str">
        <f>IF(ISBLANK(PA_Tele),"b",PA_Tele)</f>
        <v>b</v>
      </c>
      <c r="D140" s="4"/>
      <c r="E140" s="13"/>
    </row>
    <row r="141" spans="1:5" ht="12.75" customHeight="1">
      <c r="A141" s="407"/>
      <c r="B141" s="407"/>
      <c r="D141" s="4"/>
      <c r="E141" s="13"/>
    </row>
    <row r="142" spans="1:5" ht="12.75" customHeight="1">
      <c r="A142" s="407"/>
      <c r="B142" s="407"/>
      <c r="D142" s="4"/>
      <c r="E142" s="13"/>
    </row>
    <row r="143" spans="1:5" ht="12.75" customHeight="1">
      <c r="A143" s="407" t="s">
        <v>608</v>
      </c>
      <c r="B143" s="423" t="str">
        <f>IF(SAL_Admin&gt;0,SAL_Admin,"b")</f>
        <v>b</v>
      </c>
      <c r="D143" s="4" t="s">
        <v>685</v>
      </c>
      <c r="E143" s="13"/>
    </row>
    <row r="144" spans="1:5" ht="12.75" customHeight="1">
      <c r="A144" s="407" t="s">
        <v>604</v>
      </c>
      <c r="B144" s="423" t="str">
        <f>IF(ISBLANK(PT_Admin),"b",PT_Admin)</f>
        <v>b</v>
      </c>
      <c r="D144" s="212" t="e">
        <f>IF(ISBLANK(PT_Sls),PT*(SAL_Admin/SAL),PT_Admin)</f>
        <v>#DIV/0!</v>
      </c>
      <c r="E144" s="181"/>
    </row>
    <row r="145" spans="1:5" ht="12.75" customHeight="1">
      <c r="A145" s="407" t="s">
        <v>605</v>
      </c>
      <c r="B145" s="423" t="str">
        <f>IF(ISBLANK(GRP_INS_Admin),"b",GRP_INS_Admin)</f>
        <v>b</v>
      </c>
      <c r="C145" s="2"/>
      <c r="D145" s="212" t="e">
        <f>IF(ISBLANK(GRP_INS_Sls),GRP_INS*(SAL_Admin/SAL),GRP_INS_Admin)</f>
        <v>#DIV/0!</v>
      </c>
      <c r="E145" s="13"/>
    </row>
    <row r="146" spans="1:5" ht="12.75" customHeight="1">
      <c r="A146" s="407" t="s">
        <v>606</v>
      </c>
      <c r="B146" s="423" t="str">
        <f>IF(ISBLANK(BENE_Admin),"b",BENE_Admin)</f>
        <v>b</v>
      </c>
      <c r="D146" s="212" t="e">
        <f>IF(ISBLANK(BENE_Sls),BENE*(SAL_Admin/SAL),BENE_Admin)</f>
        <v>#DIV/0!</v>
      </c>
      <c r="E146" s="13"/>
    </row>
    <row r="147" spans="1:5" ht="12.75" customHeight="1">
      <c r="A147" s="407" t="s">
        <v>607</v>
      </c>
      <c r="B147" s="423" t="str">
        <f>IF(PA_Admin&gt;0,PA_Admin,"b")</f>
        <v>b</v>
      </c>
      <c r="D147" s="4"/>
      <c r="E147" s="181"/>
    </row>
    <row r="148" spans="1:5" ht="12.75" customHeight="1">
      <c r="A148" s="407" t="s">
        <v>609</v>
      </c>
      <c r="B148" s="423" t="str">
        <f>IF(ISBLANK(ProfFees),"b",ProfFees)</f>
        <v>b</v>
      </c>
      <c r="D148" s="4"/>
      <c r="E148" s="13"/>
    </row>
    <row r="149" spans="1:5" ht="12.75" customHeight="1">
      <c r="A149" s="407" t="s">
        <v>189</v>
      </c>
      <c r="B149" s="423" t="str">
        <f>IF(ISBLANK(MIS),"b",MIS)</f>
        <v>b</v>
      </c>
      <c r="D149" s="4"/>
      <c r="E149" s="13"/>
    </row>
    <row r="150" spans="1:5" ht="12.75" customHeight="1">
      <c r="A150" s="407" t="s">
        <v>121</v>
      </c>
      <c r="B150" s="423" t="str">
        <f>IF(ISBLANK(Ins),"b",Ins)</f>
        <v>b</v>
      </c>
      <c r="D150" s="4"/>
      <c r="E150" s="181"/>
    </row>
    <row r="151" spans="1:5" ht="12.75" customHeight="1">
      <c r="A151" s="407" t="s">
        <v>246</v>
      </c>
      <c r="B151" s="423" t="str">
        <f>IF(ISBLANK(BD),"b",BD)</f>
        <v>b</v>
      </c>
      <c r="D151" s="4"/>
      <c r="E151" s="181"/>
    </row>
    <row r="152" spans="1:5" ht="12.75" customHeight="1">
      <c r="A152" s="407"/>
      <c r="B152" s="407"/>
      <c r="C152" s="1"/>
      <c r="D152" s="4"/>
      <c r="E152" s="181"/>
    </row>
    <row r="153" spans="1:5" ht="12.75" customHeight="1">
      <c r="A153" s="449" t="s">
        <v>610</v>
      </c>
      <c r="B153" s="450" t="str">
        <f>IF(ISBLANK(Admin_Exp),"b",Admin_Exp)</f>
        <v>b</v>
      </c>
      <c r="C153" s="1"/>
      <c r="D153" s="4"/>
      <c r="E153" s="181"/>
    </row>
    <row r="154" spans="1:5" ht="12.75" customHeight="1">
      <c r="D154" s="4"/>
      <c r="E154" s="181"/>
    </row>
    <row r="155" spans="1:5" ht="12.75" customHeight="1">
      <c r="D155" s="4"/>
      <c r="E155" s="181"/>
    </row>
    <row r="156" spans="1:5" ht="12.75" customHeight="1">
      <c r="D156" s="4"/>
      <c r="E156" s="181"/>
    </row>
    <row r="157" spans="1:5" ht="12.75" customHeight="1"/>
    <row r="158" spans="1:5" ht="12.75" customHeight="1"/>
    <row r="159" spans="1:5" ht="12.75" customHeight="1"/>
    <row r="160" spans="1:5" ht="12.75" customHeight="1">
      <c r="C160" s="161"/>
    </row>
    <row r="161" spans="1:3" ht="12.75" customHeight="1">
      <c r="C161" s="13"/>
    </row>
    <row r="162" spans="1:3" ht="12.75" customHeight="1">
      <c r="A162" s="1" t="s">
        <v>644</v>
      </c>
      <c r="C162" s="13"/>
    </row>
    <row r="163" spans="1:3" ht="12.75" customHeight="1">
      <c r="A163" s="4" t="s">
        <v>521</v>
      </c>
      <c r="B163" s="428" t="str">
        <f>IF(NS_Tot=0,"b",IF(NS_Tot&gt;0,NS_Cigarettes,0))</f>
        <v>b</v>
      </c>
      <c r="C163" s="4" t="s">
        <v>493</v>
      </c>
    </row>
    <row r="164" spans="1:3" ht="12.75" customHeight="1">
      <c r="A164" s="4" t="s">
        <v>522</v>
      </c>
      <c r="B164" s="428" t="str">
        <f>IF(NS_Tot=0,"b",IF(NS_Tot&gt;0,NS_Tobacco,0))</f>
        <v>b</v>
      </c>
      <c r="C164" s="4" t="s">
        <v>494</v>
      </c>
    </row>
    <row r="165" spans="1:3" ht="12.75" customHeight="1">
      <c r="A165" s="4" t="s">
        <v>523</v>
      </c>
      <c r="B165" s="428" t="str">
        <f>IF(NS_Tot=0,"b",IF(NS_Tot&gt;0,NS_Candy,0))</f>
        <v>b</v>
      </c>
      <c r="C165" s="4" t="s">
        <v>495</v>
      </c>
    </row>
    <row r="166" spans="1:3" ht="12.75" customHeight="1">
      <c r="A166" s="4" t="s">
        <v>524</v>
      </c>
      <c r="B166" s="428" t="str">
        <f>IF(NS_Tot=0,"b",IF(NS_Tot&gt;0,NS_Food,0))</f>
        <v>b</v>
      </c>
      <c r="C166" s="4" t="s">
        <v>496</v>
      </c>
    </row>
    <row r="167" spans="1:3" ht="12.75" customHeight="1">
      <c r="A167" s="4" t="s">
        <v>714</v>
      </c>
      <c r="B167" s="428" t="str">
        <f>IF(NS_Tot=0,"b",IF(NS_Tot&gt;0,NS_Frozen,0))</f>
        <v>b</v>
      </c>
      <c r="C167" s="1" t="s">
        <v>718</v>
      </c>
    </row>
    <row r="168" spans="1:3" ht="12.75" customHeight="1">
      <c r="A168" s="4" t="s">
        <v>576</v>
      </c>
      <c r="B168" s="428" t="str">
        <f>IF(NS_Tot=0,"b",IF(NS_Tot&gt;0,NS_Dairy,0))</f>
        <v>b</v>
      </c>
      <c r="C168" s="4" t="s">
        <v>719</v>
      </c>
    </row>
    <row r="169" spans="1:3" ht="12.75" customHeight="1">
      <c r="A169" s="4" t="s">
        <v>525</v>
      </c>
      <c r="B169" s="428" t="str">
        <f>IF(NS_Tot=0,"b",IF(NS_Tot&gt;0,NS_Grocery,0))</f>
        <v>b</v>
      </c>
      <c r="C169" s="4" t="s">
        <v>497</v>
      </c>
    </row>
    <row r="170" spans="1:3" ht="12.75" customHeight="1">
      <c r="A170" s="4" t="s">
        <v>526</v>
      </c>
      <c r="B170" s="428" t="str">
        <f>IF(NS_Tot=0,"b",IF(NS_Tot&gt;0,NS_HBC,0))</f>
        <v>b</v>
      </c>
      <c r="C170" s="4" t="s">
        <v>498</v>
      </c>
    </row>
    <row r="171" spans="1:3" ht="12.75" customHeight="1">
      <c r="A171" s="4" t="s">
        <v>527</v>
      </c>
      <c r="B171" s="428" t="str">
        <f>IF(NS_Tot=0,"b",IF(NS_Tot&gt;0,NS_GenlMdse,0))</f>
        <v>b</v>
      </c>
      <c r="C171" s="4" t="s">
        <v>499</v>
      </c>
    </row>
    <row r="172" spans="1:3" ht="12.75" customHeight="1">
      <c r="A172" s="4" t="s">
        <v>577</v>
      </c>
      <c r="B172" s="428" t="str">
        <f>IF(NS_Tot=0,"b",IF(NS_Tot&gt;0,NS_Beverage,0))</f>
        <v>b</v>
      </c>
      <c r="C172" s="4" t="s">
        <v>501</v>
      </c>
    </row>
    <row r="173" spans="1:3" ht="12.75" customHeight="1">
      <c r="A173" s="4" t="s">
        <v>578</v>
      </c>
      <c r="B173" s="428" t="str">
        <f>IF(NS_Tot=0,"b",IF(NS_Tot&gt;0,NS_Paper,0))</f>
        <v>b</v>
      </c>
      <c r="C173" s="4" t="s">
        <v>502</v>
      </c>
    </row>
    <row r="174" spans="1:3" ht="12.75" customHeight="1">
      <c r="A174" s="4" t="s">
        <v>579</v>
      </c>
      <c r="B174" s="428" t="str">
        <f>IF(NS_Tot=0,"b",IF(NS_Tot&gt;0,NS_Auto,0))</f>
        <v>b</v>
      </c>
      <c r="C174" s="4" t="s">
        <v>503</v>
      </c>
    </row>
    <row r="175" spans="1:3" ht="12.75" customHeight="1">
      <c r="A175" s="4" t="s">
        <v>528</v>
      </c>
      <c r="B175" s="428" t="str">
        <f>IF(NS_Tot=0,"b",IF(NS_Tot&gt;0,NS_OPROD,0))</f>
        <v>b</v>
      </c>
      <c r="C175" s="158" t="s">
        <v>264</v>
      </c>
    </row>
    <row r="176" spans="1:3" ht="12.75" customHeight="1">
      <c r="A176" s="1" t="s">
        <v>643</v>
      </c>
      <c r="B176" s="13"/>
      <c r="C176" s="13"/>
    </row>
    <row r="177" spans="1:3" ht="12.75" customHeight="1">
      <c r="A177" s="4" t="s">
        <v>631</v>
      </c>
      <c r="B177" s="63" t="str">
        <f>IF(ISBLANK(Turn_Cigarettes),"b",Turn_Cigarettes)</f>
        <v>b</v>
      </c>
      <c r="C177" s="4" t="s">
        <v>493</v>
      </c>
    </row>
    <row r="178" spans="1:3" ht="12.75" customHeight="1">
      <c r="A178" s="4" t="s">
        <v>632</v>
      </c>
      <c r="B178" s="63" t="str">
        <f>IF(ISBLANK(Turn_Tabacco),"b",Turn_Tabacco)</f>
        <v>b</v>
      </c>
      <c r="C178" s="4" t="s">
        <v>494</v>
      </c>
    </row>
    <row r="179" spans="1:3" ht="12.75" customHeight="1">
      <c r="A179" s="4" t="s">
        <v>633</v>
      </c>
      <c r="B179" s="63" t="str">
        <f>IF(ISBLANK(Turn_Candy),"b",Turn_Candy)</f>
        <v>b</v>
      </c>
      <c r="C179" s="4" t="s">
        <v>495</v>
      </c>
    </row>
    <row r="180" spans="1:3" ht="12.75" customHeight="1">
      <c r="A180" s="4" t="s">
        <v>634</v>
      </c>
      <c r="B180" s="63" t="str">
        <f>IF(ISBLANK(Turn_Food),"b",Turn_Food)</f>
        <v>b</v>
      </c>
      <c r="C180" s="4" t="s">
        <v>496</v>
      </c>
    </row>
    <row r="181" spans="1:3" ht="12.75" customHeight="1">
      <c r="A181" s="4" t="s">
        <v>715</v>
      </c>
      <c r="B181" s="63" t="str">
        <f>IF(ISBLANK(Turn_Frozen),"b",Turn_Frozen)</f>
        <v>b</v>
      </c>
      <c r="C181" s="1" t="s">
        <v>718</v>
      </c>
    </row>
    <row r="182" spans="1:3" ht="12.75" customHeight="1">
      <c r="A182" s="4" t="s">
        <v>638</v>
      </c>
      <c r="B182" s="63" t="str">
        <f>IF(ISBLANK(Turn_Dairy),"b",Turn_Dairy)</f>
        <v>b</v>
      </c>
      <c r="C182" s="4" t="s">
        <v>719</v>
      </c>
    </row>
    <row r="183" spans="1:3" ht="12.75" customHeight="1">
      <c r="A183" s="4" t="s">
        <v>635</v>
      </c>
      <c r="B183" s="63" t="str">
        <f>IF(ISBLANK(Turn_Grocery),"b",Turn_Grocery)</f>
        <v>b</v>
      </c>
      <c r="C183" s="4" t="s">
        <v>497</v>
      </c>
    </row>
    <row r="184" spans="1:3" ht="12.75" customHeight="1">
      <c r="A184" s="4" t="s">
        <v>636</v>
      </c>
      <c r="B184" s="63" t="str">
        <f>IF(ISBLANK(Turn_HBC),"b",Turn_HBC)</f>
        <v>b</v>
      </c>
      <c r="C184" s="4" t="s">
        <v>498</v>
      </c>
    </row>
    <row r="185" spans="1:3" ht="12.75" customHeight="1">
      <c r="A185" s="4" t="s">
        <v>637</v>
      </c>
      <c r="B185" s="63" t="str">
        <f>IF(ISBLANK(Turn_GenlMdse),"b",Turn_GenlMdse)</f>
        <v>b</v>
      </c>
      <c r="C185" s="4" t="s">
        <v>499</v>
      </c>
    </row>
    <row r="186" spans="1:3" ht="12.75" customHeight="1">
      <c r="A186" s="4" t="s">
        <v>639</v>
      </c>
      <c r="B186" s="63" t="str">
        <f>IF(ISBLANK(Turn_Beverage),"b",Turn_Beverage)</f>
        <v>b</v>
      </c>
      <c r="C186" s="4" t="s">
        <v>501</v>
      </c>
    </row>
    <row r="187" spans="1:3" ht="12.75" customHeight="1">
      <c r="A187" s="4" t="s">
        <v>640</v>
      </c>
      <c r="B187" s="63" t="str">
        <f>IF(ISBLANK(Turn_Paper),"b",Turn_Paper)</f>
        <v>b</v>
      </c>
      <c r="C187" s="4" t="s">
        <v>502</v>
      </c>
    </row>
    <row r="188" spans="1:3" ht="12.75" customHeight="1">
      <c r="A188" s="4" t="s">
        <v>641</v>
      </c>
      <c r="B188" s="63" t="str">
        <f>IF(ISBLANK(Turn_Auto),"b",Turn_Auto)</f>
        <v>b</v>
      </c>
      <c r="C188" s="4" t="s">
        <v>503</v>
      </c>
    </row>
    <row r="189" spans="1:3" ht="12.75" customHeight="1">
      <c r="A189" s="4" t="s">
        <v>642</v>
      </c>
      <c r="B189" s="63" t="str">
        <f>IF(ISBLANK(Turn_OPROD),"b",Turn_OPROD)</f>
        <v>b</v>
      </c>
      <c r="C189" s="158" t="s">
        <v>264</v>
      </c>
    </row>
    <row r="190" spans="1:3" ht="12.75" customHeight="1"/>
    <row r="191" spans="1:3" ht="12.75" customHeight="1">
      <c r="B191" s="13"/>
    </row>
    <row r="192" spans="1:3" ht="12.75" customHeight="1">
      <c r="B192" s="161"/>
    </row>
    <row r="193" spans="1:4" ht="12.75" customHeight="1">
      <c r="B193" s="13"/>
    </row>
    <row r="194" spans="1:4" ht="12.75" customHeight="1">
      <c r="B194" s="13"/>
    </row>
    <row r="195" spans="1:4" ht="12.75" customHeight="1">
      <c r="B195" s="13"/>
    </row>
    <row r="196" spans="1:4">
      <c r="A196" s="261" t="s">
        <v>283</v>
      </c>
      <c r="B196" s="257" t="str">
        <f>IFERROR(IF(NS&gt;0,NS*(100-DROP)/100,"B"),"b")</f>
        <v>B</v>
      </c>
      <c r="C196" s="227"/>
    </row>
    <row r="197" spans="1:4">
      <c r="A197" s="261" t="s">
        <v>284</v>
      </c>
      <c r="B197" s="257" t="str">
        <f>IFERROR(IF(COGS&gt;0,COGS_2*(100-DROP)/100,"B"),"b")</f>
        <v>B</v>
      </c>
      <c r="C197" s="1"/>
    </row>
    <row r="198" spans="1:4">
      <c r="A198" s="261" t="s">
        <v>285</v>
      </c>
      <c r="B198" s="257" t="str">
        <f>IFERROR(WHSNS-WHSCOGS,"B")</f>
        <v>B</v>
      </c>
    </row>
    <row r="200" spans="1:4">
      <c r="A200" s="224" t="s">
        <v>280</v>
      </c>
      <c r="B200" s="193"/>
    </row>
    <row r="201" spans="1:4">
      <c r="A201" s="280" t="s">
        <v>286</v>
      </c>
      <c r="B201" s="252"/>
    </row>
    <row r="202" spans="1:4">
      <c r="A202" s="281" t="s">
        <v>287</v>
      </c>
      <c r="B202" s="251" t="str">
        <f>IF(ISBLANK(AVG),IF(Inv&lt;&gt;0,Inv+End+Add/2,"b"),AVG+End+Add/2)</f>
        <v>b</v>
      </c>
      <c r="C202" s="194"/>
    </row>
    <row r="203" spans="1:4">
      <c r="A203" s="281" t="s">
        <v>288</v>
      </c>
      <c r="B203" s="250" t="str">
        <f>IFERROR(IF(Inv&gt;0,Inv+End,"b"),"B")</f>
        <v>b</v>
      </c>
    </row>
    <row r="204" spans="1:4">
      <c r="A204" s="281" t="s">
        <v>289</v>
      </c>
      <c r="B204" s="250" t="str">
        <f>IFERROR(IF(CA&gt;0,CA+End,"b"),"B")</f>
        <v>b</v>
      </c>
    </row>
    <row r="205" spans="1:4">
      <c r="A205" s="281" t="s">
        <v>290</v>
      </c>
      <c r="B205" s="250" t="str">
        <f>IFERROR(IF(TA&gt;0,TA+End,"b"),"B")</f>
        <v>b</v>
      </c>
      <c r="D205" s="231"/>
    </row>
    <row r="206" spans="1:4">
      <c r="A206" s="281" t="s">
        <v>291</v>
      </c>
      <c r="B206" s="250" t="str">
        <f>IFERROR(IF(Eqty&lt;&gt;0,Loan+Eqty+End,"b"),"B")</f>
        <v>b</v>
      </c>
      <c r="C206" s="228"/>
      <c r="D206" s="232"/>
    </row>
    <row r="207" spans="1:4">
      <c r="A207" s="281" t="s">
        <v>292</v>
      </c>
      <c r="B207" s="250" t="str">
        <f>IFERROR(IF(COGS&gt;0,COGS-Add,"b"),"B")</f>
        <v>b</v>
      </c>
    </row>
    <row r="208" spans="1:4">
      <c r="A208" s="281" t="s">
        <v>293</v>
      </c>
      <c r="B208" s="250" t="str">
        <f>IFERROR(IF(AND(NS&gt;0,COGS&gt;0),GP+Add,"b"),"B")</f>
        <v>b</v>
      </c>
      <c r="C208" s="181"/>
    </row>
    <row r="209" spans="1:3">
      <c r="A209" s="281" t="s">
        <v>294</v>
      </c>
      <c r="B209" s="250" t="str">
        <f>IFERROR(IF(AND(GP&lt;&gt;0,TE&gt;0),OP+Add,"b"),"B")</f>
        <v>b</v>
      </c>
      <c r="C209" s="181"/>
    </row>
    <row r="210" spans="1:3">
      <c r="A210" s="281" t="s">
        <v>295</v>
      </c>
      <c r="B210" s="250" t="str">
        <f>IFERROR(IF(AND(GP&lt;&gt;0,TE&gt;0),PBT+Add,"b"),"B")</f>
        <v>b</v>
      </c>
    </row>
    <row r="211" spans="1:3">
      <c r="A211" s="281" t="s">
        <v>296</v>
      </c>
      <c r="B211" s="250" t="str">
        <f>IFERROR(IF(ISBLANK(Tax),"b",(Net+Add)),"B")</f>
        <v>b</v>
      </c>
    </row>
    <row r="212" spans="1:3">
      <c r="A212" s="258" t="s">
        <v>297</v>
      </c>
      <c r="B212" s="249" t="str">
        <f>IFERROR(IF(AND(GP&lt;&gt;0,TE&gt;0),PB_Bonus+Add,"b"),"B")</f>
        <v>b</v>
      </c>
    </row>
    <row r="213" spans="1:3">
      <c r="A213" s="293" t="s">
        <v>352</v>
      </c>
      <c r="B213" s="292"/>
    </row>
    <row r="214" spans="1:3">
      <c r="A214" s="271" t="s">
        <v>298</v>
      </c>
      <c r="B214" s="225" t="str">
        <f>IFERROR((NS-Prev)/Prev,"B")</f>
        <v>B</v>
      </c>
    </row>
    <row r="215" spans="1:3">
      <c r="A215" s="271" t="s">
        <v>299</v>
      </c>
      <c r="B215" s="225" t="str">
        <f>IFERROR(PBT_2/NS,"B")</f>
        <v>B</v>
      </c>
    </row>
    <row r="216" spans="1:3">
      <c r="A216" s="271" t="s">
        <v>300</v>
      </c>
      <c r="B216" s="226" t="str">
        <f>IFERROR(NS/TA_2,"B")</f>
        <v>B</v>
      </c>
    </row>
    <row r="217" spans="1:3">
      <c r="A217" s="271" t="s">
        <v>301</v>
      </c>
      <c r="B217" s="225" t="str">
        <f>IFERROR(PBT_2/TA_2,"B")</f>
        <v>B</v>
      </c>
    </row>
    <row r="218" spans="1:3">
      <c r="A218" s="271" t="s">
        <v>302</v>
      </c>
      <c r="B218" s="226" t="str">
        <f>IFERROR(TA_2/NW_2,"B")</f>
        <v>B</v>
      </c>
    </row>
    <row r="219" spans="1:3">
      <c r="A219" s="271" t="s">
        <v>303</v>
      </c>
      <c r="B219" s="225" t="str">
        <f>IFERROR(PBT_2/NW_2,"B")</f>
        <v>B</v>
      </c>
    </row>
    <row r="220" spans="1:3">
      <c r="A220" s="293" t="s">
        <v>417</v>
      </c>
      <c r="B220" s="294"/>
    </row>
    <row r="221" spans="1:3">
      <c r="A221" s="271" t="s">
        <v>304</v>
      </c>
      <c r="B221" s="226" t="str">
        <f>IFERROR(CA_2/CL,"B")</f>
        <v>B</v>
      </c>
    </row>
    <row r="222" spans="1:3">
      <c r="A222" s="271" t="s">
        <v>305</v>
      </c>
      <c r="B222" s="226" t="str">
        <f>IFERROR((Cash+AR)/CL,"B")</f>
        <v>B</v>
      </c>
    </row>
    <row r="223" spans="1:3">
      <c r="A223" s="271" t="s">
        <v>306</v>
      </c>
      <c r="B223" s="225" t="str">
        <f>IFERROR(Cash/CL,"B")</f>
        <v>B</v>
      </c>
    </row>
    <row r="224" spans="1:3">
      <c r="A224" s="271" t="s">
        <v>307</v>
      </c>
      <c r="B224" s="225" t="str">
        <f>IFERROR(AP/INV_2,"B")</f>
        <v>B</v>
      </c>
    </row>
    <row r="225" spans="1:6">
      <c r="A225" s="271" t="s">
        <v>308</v>
      </c>
      <c r="B225" s="226" t="str">
        <f>IFERROR(((AAP)/(COGS_2/365)),"B")</f>
        <v>B</v>
      </c>
    </row>
    <row r="226" spans="1:6">
      <c r="A226" s="271" t="s">
        <v>309</v>
      </c>
      <c r="B226" s="226" t="str">
        <f>IFERROR((TA_2-NW_2)/NW_2,"B")</f>
        <v>B</v>
      </c>
    </row>
    <row r="227" spans="1:6">
      <c r="A227" s="271" t="s">
        <v>310</v>
      </c>
      <c r="B227" s="225" t="str">
        <f>IFERROR((PBT_2+Int)/NS,"B")</f>
        <v>B</v>
      </c>
    </row>
    <row r="228" spans="1:6">
      <c r="A228" s="271" t="s">
        <v>311</v>
      </c>
      <c r="B228" s="225" t="str">
        <f>IFERROR((PBT_2+Int)/TA_2,"B")</f>
        <v>B</v>
      </c>
    </row>
    <row r="229" spans="1:6">
      <c r="A229" s="271" t="s">
        <v>312</v>
      </c>
      <c r="B229" s="226" t="str">
        <f>IFERROR((PBT_2+Int)/Int,"B")</f>
        <v>B</v>
      </c>
    </row>
    <row r="230" spans="1:6">
      <c r="A230" s="293" t="s">
        <v>389</v>
      </c>
      <c r="B230" s="295"/>
    </row>
    <row r="231" spans="1:6">
      <c r="A231" s="271" t="s">
        <v>313</v>
      </c>
      <c r="B231" s="226" t="str">
        <f>IFERROR((AAR/((NS*(100-CSH)/100)/365)),"B")</f>
        <v>B</v>
      </c>
    </row>
    <row r="232" spans="1:6">
      <c r="A232" s="271" t="s">
        <v>314</v>
      </c>
      <c r="B232" s="226" t="str">
        <f>IFERROR(WHSCOGS/AVG_2,"B")</f>
        <v>B</v>
      </c>
      <c r="D232" s="460"/>
      <c r="E232" s="460"/>
      <c r="F232" s="460"/>
    </row>
    <row r="233" spans="1:6">
      <c r="A233" s="271" t="s">
        <v>315</v>
      </c>
      <c r="B233" s="226" t="str">
        <f>IFERROR(365/(WHSCOGS/AVG_2),"B")</f>
        <v>B</v>
      </c>
    </row>
    <row r="234" spans="1:6">
      <c r="A234" s="271" t="s">
        <v>316</v>
      </c>
      <c r="B234" s="226" t="str">
        <f>IFERROR(WHSNS/AVG_2,"B")</f>
        <v>B</v>
      </c>
    </row>
    <row r="235" spans="1:6">
      <c r="A235" s="271" t="s">
        <v>317</v>
      </c>
      <c r="B235" s="225" t="str">
        <f>IFERROR((WHSGP)/AVG_2,"B")</f>
        <v>B</v>
      </c>
    </row>
    <row r="236" spans="1:6">
      <c r="A236" s="271" t="s">
        <v>318</v>
      </c>
      <c r="B236" s="226" t="str">
        <f>IFERROR(NS/OFA,"B")</f>
        <v>B</v>
      </c>
    </row>
    <row r="237" spans="1:6">
      <c r="A237" s="296" t="s">
        <v>395</v>
      </c>
      <c r="B237" s="297" t="s">
        <v>418</v>
      </c>
    </row>
    <row r="238" spans="1:6">
      <c r="A238" s="271" t="s">
        <v>319</v>
      </c>
      <c r="B238" s="225" t="str">
        <f>IFERROR(IF(Net&lt;&gt;"b",Net/(AAR+AVG_2-AAP),PBT/(AAR+AVG_2-AAP)),"B")</f>
        <v>B</v>
      </c>
    </row>
    <row r="239" spans="1:6">
      <c r="A239" s="271" t="s">
        <v>320</v>
      </c>
      <c r="B239" s="225" t="str">
        <f>IFERROR(Cash/CL,"B")</f>
        <v>B</v>
      </c>
    </row>
    <row r="240" spans="1:6">
      <c r="A240" s="271" t="s">
        <v>321</v>
      </c>
      <c r="B240" s="226" t="str">
        <f>IFERROR(Cash/((TE-DPR)/365),"B")</f>
        <v>B</v>
      </c>
    </row>
    <row r="241" spans="1:3">
      <c r="A241" s="271" t="s">
        <v>322</v>
      </c>
      <c r="B241" s="226" t="str">
        <f>IFERROR(NS/(CA_2-CL),"B")</f>
        <v>B</v>
      </c>
    </row>
    <row r="242" spans="1:3">
      <c r="A242" s="301" t="s">
        <v>419</v>
      </c>
      <c r="B242" s="225" t="str">
        <f>IFERROR((PBT_2+Int+DPR)/NS,"B")</f>
        <v>B</v>
      </c>
    </row>
    <row r="243" spans="1:3">
      <c r="A243" s="298" t="s">
        <v>323</v>
      </c>
      <c r="B243" s="290"/>
    </row>
    <row r="244" spans="1:3">
      <c r="A244" s="271" t="s">
        <v>324</v>
      </c>
      <c r="B244" s="159"/>
    </row>
    <row r="245" spans="1:3">
      <c r="A245" s="271" t="s">
        <v>325</v>
      </c>
      <c r="B245" s="227" t="str">
        <f>IFERROR(NS/Emp,"B")</f>
        <v>B</v>
      </c>
    </row>
    <row r="246" spans="1:3">
      <c r="A246" s="271" t="s">
        <v>326</v>
      </c>
      <c r="B246" s="227" t="str">
        <f>IFERROR(GP_2/Emp,"B")</f>
        <v>B</v>
      </c>
    </row>
    <row r="247" spans="1:3">
      <c r="A247" s="271" t="s">
        <v>327</v>
      </c>
      <c r="B247" s="227" t="str">
        <f>IFERROR(SAL/Emp,"B")</f>
        <v>B</v>
      </c>
    </row>
    <row r="248" spans="1:3">
      <c r="A248" s="271" t="s">
        <v>328</v>
      </c>
      <c r="B248" s="227" t="str">
        <f>IFERROR(PA/Emp,"B")</f>
        <v>B</v>
      </c>
    </row>
    <row r="249" spans="1:3">
      <c r="A249" s="271" t="s">
        <v>329</v>
      </c>
      <c r="B249" s="225" t="str">
        <f>IFERROR(PA/NS,"B")</f>
        <v>B</v>
      </c>
    </row>
    <row r="250" spans="1:3">
      <c r="A250" s="271" t="s">
        <v>330</v>
      </c>
      <c r="B250" s="289" t="str">
        <f>IFERROR(PA/GP_2,"B")</f>
        <v>B</v>
      </c>
    </row>
    <row r="251" spans="1:3">
      <c r="A251" s="299" t="s">
        <v>193</v>
      </c>
      <c r="B251" s="290"/>
    </row>
    <row r="252" spans="1:3">
      <c r="A252" s="272" t="s">
        <v>116</v>
      </c>
      <c r="B252" s="225">
        <v>1</v>
      </c>
    </row>
    <row r="253" spans="1:3">
      <c r="A253" s="304" t="s">
        <v>120</v>
      </c>
      <c r="B253" s="303" t="str">
        <f>IFERROR(Equip/NS*100,"B")</f>
        <v>B</v>
      </c>
    </row>
    <row r="254" spans="1:3">
      <c r="A254" s="304" t="s">
        <v>180</v>
      </c>
      <c r="B254" s="303" t="str">
        <f>IFERROR(TechWages/NS*100,"B")</f>
        <v>B</v>
      </c>
    </row>
    <row r="255" spans="1:3">
      <c r="A255" s="220" t="s">
        <v>188</v>
      </c>
      <c r="B255" s="188" t="s">
        <v>196</v>
      </c>
      <c r="C255" s="1"/>
    </row>
    <row r="256" spans="1:3">
      <c r="A256" s="407" t="s">
        <v>415</v>
      </c>
      <c r="B256" s="425" t="str">
        <f>IFERROR(PA_CustSvc/NS*100,"B")</f>
        <v>B</v>
      </c>
      <c r="C256" s="1"/>
    </row>
    <row r="257" spans="1:8">
      <c r="A257" s="272" t="s">
        <v>123</v>
      </c>
      <c r="B257" s="226" t="str">
        <f>IFERROR(COGS_2/NS*100,"B")</f>
        <v>B</v>
      </c>
    </row>
    <row r="258" spans="1:8">
      <c r="A258" s="272" t="s">
        <v>124</v>
      </c>
      <c r="B258" s="226" t="str">
        <f>IFERROR(GP_2/NS*100,"B")</f>
        <v>B</v>
      </c>
    </row>
    <row r="259" spans="1:8">
      <c r="A259" s="4" t="s">
        <v>204</v>
      </c>
      <c r="B259" s="226" t="str">
        <f>IFERROR(PA_Exec/NS*100,"B")</f>
        <v>B</v>
      </c>
      <c r="C259" s="1"/>
      <c r="G259" s="4"/>
    </row>
    <row r="260" spans="1:8">
      <c r="A260" s="4" t="s">
        <v>236</v>
      </c>
      <c r="B260" s="226" t="str">
        <f>IFERROR(PA_Out/NS*100,"B")</f>
        <v>B</v>
      </c>
      <c r="G260" s="4"/>
    </row>
    <row r="261" spans="1:8">
      <c r="A261" s="13" t="s">
        <v>207</v>
      </c>
      <c r="B261" s="226" t="str">
        <f>IFERROR(PA_WHS/NS*100,"B")</f>
        <v>B</v>
      </c>
      <c r="G261" s="4"/>
    </row>
    <row r="262" spans="1:8">
      <c r="A262" s="4" t="s">
        <v>232</v>
      </c>
      <c r="B262" s="226" t="str">
        <f>IFERROR(PA_Driver/NS*100,"B")</f>
        <v>B</v>
      </c>
      <c r="G262" s="4"/>
    </row>
    <row r="263" spans="1:8">
      <c r="A263" s="4" t="s">
        <v>201</v>
      </c>
      <c r="B263" s="246" t="str">
        <f>IFERROR(PA_OTH/NS*100,"B")</f>
        <v>B</v>
      </c>
      <c r="G263" s="4"/>
    </row>
    <row r="264" spans="1:8">
      <c r="A264" s="271" t="s">
        <v>182</v>
      </c>
      <c r="B264" s="226" t="str">
        <f>IFERROR(SAL/NS*100,"B")</f>
        <v>B</v>
      </c>
      <c r="D264" s="4"/>
      <c r="E264" s="13"/>
      <c r="G264" s="13"/>
    </row>
    <row r="265" spans="1:8">
      <c r="A265" s="271" t="s">
        <v>183</v>
      </c>
      <c r="B265" s="226" t="str">
        <f>IFERROR(PT/NS*100,"B")</f>
        <v>B</v>
      </c>
      <c r="D265" s="4"/>
      <c r="E265" s="13"/>
      <c r="G265" s="4"/>
    </row>
    <row r="266" spans="1:8">
      <c r="A266" s="271" t="s">
        <v>185</v>
      </c>
      <c r="B266" s="226" t="str">
        <f>IFERROR(GRP_INS/NS*100,"B")</f>
        <v>B</v>
      </c>
      <c r="D266" s="4"/>
      <c r="E266" s="13"/>
      <c r="G266" s="4"/>
    </row>
    <row r="267" spans="1:8">
      <c r="A267" s="271" t="s">
        <v>184</v>
      </c>
      <c r="B267" s="246" t="str">
        <f>IFERROR(BENE/NS*100,"B")</f>
        <v>B</v>
      </c>
      <c r="D267" s="4"/>
      <c r="E267" s="13"/>
      <c r="G267" s="13"/>
    </row>
    <row r="268" spans="1:8">
      <c r="A268" s="271" t="s">
        <v>125</v>
      </c>
      <c r="B268" s="226" t="str">
        <f>IFERROR(PA/NS*100,"B")</f>
        <v>B</v>
      </c>
      <c r="D268" s="4"/>
      <c r="E268" s="13"/>
      <c r="G268" s="13"/>
    </row>
    <row r="269" spans="1:8">
      <c r="A269" s="13" t="s">
        <v>186</v>
      </c>
      <c r="B269" s="226" t="str">
        <f>IFERROR(OC/NS*100,"B")</f>
        <v>B</v>
      </c>
      <c r="D269" s="13"/>
      <c r="E269" s="13"/>
      <c r="G269" s="13"/>
    </row>
    <row r="270" spans="1:8">
      <c r="A270" s="4" t="s">
        <v>187</v>
      </c>
      <c r="B270" s="226" t="str">
        <f>IFERROR(VEH/NS*100,"B")</f>
        <v>B</v>
      </c>
      <c r="D270" s="4"/>
      <c r="E270" s="13"/>
      <c r="G270" s="4"/>
    </row>
    <row r="271" spans="1:8">
      <c r="A271" s="4" t="s">
        <v>122</v>
      </c>
      <c r="B271" s="226" t="str">
        <f>IFERROR(DPR/NS*100,"B")</f>
        <v>B</v>
      </c>
      <c r="D271" s="4"/>
      <c r="E271" s="13"/>
      <c r="G271" s="271" t="s">
        <v>182</v>
      </c>
      <c r="H271" s="226" t="str">
        <f>IFERROR(SAL/NS*100,"B")</f>
        <v>B</v>
      </c>
    </row>
    <row r="272" spans="1:8">
      <c r="A272" s="4" t="s">
        <v>127</v>
      </c>
      <c r="B272" s="226" t="str">
        <f>IFERROR(OE/NS*100,"B")</f>
        <v>B</v>
      </c>
      <c r="D272" s="4"/>
      <c r="E272" s="13"/>
      <c r="G272" s="271" t="s">
        <v>183</v>
      </c>
      <c r="H272" s="226" t="str">
        <f>IFERROR(PT/NS*100,"B")</f>
        <v>B</v>
      </c>
    </row>
    <row r="273" spans="1:8">
      <c r="A273" s="1" t="s">
        <v>129</v>
      </c>
      <c r="B273" s="226" t="str">
        <f>IFERROR(TE/NS*100,"B")</f>
        <v>B</v>
      </c>
      <c r="D273" s="4"/>
      <c r="E273" s="13"/>
      <c r="G273" s="271" t="s">
        <v>185</v>
      </c>
      <c r="H273" s="226" t="str">
        <f>IFERROR(GRP_INS/NS*100,"B")</f>
        <v>B</v>
      </c>
    </row>
    <row r="274" spans="1:8">
      <c r="A274" s="1" t="s">
        <v>130</v>
      </c>
      <c r="B274" s="226" t="str">
        <f>IFERROR(OP_2/NS*100,"B")</f>
        <v>B</v>
      </c>
      <c r="D274" s="4"/>
      <c r="E274" s="13"/>
      <c r="G274" s="271" t="s">
        <v>184</v>
      </c>
      <c r="H274" s="226" t="str">
        <f>IFERROR(BENE/NS*100,"B")</f>
        <v>B</v>
      </c>
    </row>
    <row r="275" spans="1:8">
      <c r="A275" s="4" t="s">
        <v>131</v>
      </c>
      <c r="B275" s="226" t="str">
        <f>IFERROR(OI/NS*100,"B")</f>
        <v>B</v>
      </c>
      <c r="D275" s="13"/>
      <c r="E275" s="13"/>
      <c r="G275" s="271" t="s">
        <v>125</v>
      </c>
      <c r="H275" s="226" t="str">
        <f>IFERROR(PA/NS*100,"B")</f>
        <v>B</v>
      </c>
    </row>
    <row r="276" spans="1:8">
      <c r="A276" s="4" t="s">
        <v>132</v>
      </c>
      <c r="B276" s="226" t="str">
        <f>IFERROR(Int/NS*100,"B")</f>
        <v>B</v>
      </c>
      <c r="D276" s="4"/>
      <c r="E276" s="13"/>
      <c r="G276" s="271"/>
    </row>
    <row r="277" spans="1:8">
      <c r="A277" s="4" t="s">
        <v>133</v>
      </c>
      <c r="B277" s="226" t="str">
        <f>IFERROR(Oex/NS*100,"B")</f>
        <v>B</v>
      </c>
      <c r="D277" s="4"/>
      <c r="E277" s="13"/>
      <c r="G277" s="271"/>
    </row>
    <row r="278" spans="1:8">
      <c r="A278" s="1" t="s">
        <v>134</v>
      </c>
      <c r="B278" s="225" t="str">
        <f>IFERROR(PBT_2/NS,"B")</f>
        <v>B</v>
      </c>
      <c r="D278" s="4"/>
      <c r="E278" s="13"/>
      <c r="G278" s="271"/>
    </row>
    <row r="279" spans="1:8">
      <c r="A279" s="4" t="s">
        <v>135</v>
      </c>
      <c r="D279" s="4"/>
      <c r="E279" s="13"/>
      <c r="G279" s="271"/>
    </row>
    <row r="280" spans="1:8">
      <c r="A280" s="1" t="s">
        <v>136</v>
      </c>
      <c r="D280" s="4"/>
      <c r="E280" s="13"/>
      <c r="G280" s="271"/>
      <c r="H280" s="226"/>
    </row>
    <row r="281" spans="1:8">
      <c r="A281" s="407" t="s">
        <v>594</v>
      </c>
      <c r="B281" s="425" t="str">
        <f>IFERROR(GRP_INS_Dist/NS*100,"B")</f>
        <v>B</v>
      </c>
      <c r="C281" s="1"/>
      <c r="D281" s="4"/>
      <c r="E281" s="13"/>
      <c r="G281" s="4"/>
    </row>
    <row r="282" spans="1:8">
      <c r="A282" s="407" t="s">
        <v>595</v>
      </c>
      <c r="B282" s="455" t="str">
        <f>IFERROR(BENE_Dist/NS*100,"B")</f>
        <v>B</v>
      </c>
      <c r="D282" s="4"/>
      <c r="E282" s="13"/>
      <c r="G282" s="4"/>
      <c r="H282" s="226"/>
    </row>
    <row r="283" spans="1:8">
      <c r="A283" s="407" t="s">
        <v>596</v>
      </c>
      <c r="B283" s="425" t="str">
        <f>IFERROR(PA_Dist/NS*100,"B")</f>
        <v>B</v>
      </c>
      <c r="D283" s="4"/>
      <c r="E283" s="13"/>
      <c r="G283" s="4"/>
    </row>
    <row r="284" spans="1:8">
      <c r="A284" s="407" t="s">
        <v>597</v>
      </c>
      <c r="B284" s="425" t="str">
        <f>IFERROR(Veh_Del/NS*100,"B")</f>
        <v>B</v>
      </c>
      <c r="D284" s="4"/>
      <c r="E284" s="13"/>
      <c r="G284" s="4"/>
    </row>
    <row r="285" spans="1:8">
      <c r="A285" s="407" t="s">
        <v>118</v>
      </c>
      <c r="B285" s="425" t="str">
        <f>IFERROR(UT/NS*100,"B")</f>
        <v>B</v>
      </c>
      <c r="D285" s="4"/>
      <c r="E285" s="13"/>
      <c r="G285" s="4"/>
    </row>
    <row r="286" spans="1:8">
      <c r="A286" s="407" t="s">
        <v>117</v>
      </c>
      <c r="B286" s="425" t="str">
        <f>IFERROR(RM/NS*100,"B")</f>
        <v>B</v>
      </c>
      <c r="D286" s="4"/>
      <c r="E286" s="13"/>
      <c r="G286" s="4"/>
    </row>
    <row r="287" spans="1:8">
      <c r="A287" s="407" t="s">
        <v>119</v>
      </c>
      <c r="B287" s="425" t="str">
        <f>IFERROR(Rent/NS*100,"B")</f>
        <v>B</v>
      </c>
      <c r="D287" s="4"/>
      <c r="E287" s="13"/>
      <c r="G287" s="4"/>
      <c r="H287" s="226"/>
    </row>
    <row r="288" spans="1:8">
      <c r="A288" s="407" t="s">
        <v>598</v>
      </c>
      <c r="B288" s="425" t="str">
        <f>IFERROR(FO/NS*100,"B")</f>
        <v>B</v>
      </c>
      <c r="D288" s="4"/>
      <c r="E288" s="13"/>
      <c r="G288" s="4"/>
    </row>
    <row r="289" spans="1:8">
      <c r="A289" s="407"/>
      <c r="B289" s="407"/>
      <c r="D289" s="4"/>
      <c r="E289" s="13"/>
      <c r="G289" s="4"/>
      <c r="H289" s="226"/>
    </row>
    <row r="290" spans="1:8">
      <c r="A290" s="407" t="s">
        <v>599</v>
      </c>
      <c r="B290" s="455" t="str">
        <f>IFERROR(ODIST/NS*100,"B")</f>
        <v>B</v>
      </c>
      <c r="D290" s="4"/>
      <c r="E290" s="13"/>
      <c r="G290" s="271"/>
    </row>
    <row r="291" spans="1:8">
      <c r="A291" s="449" t="s">
        <v>600</v>
      </c>
      <c r="B291" s="456" t="str">
        <f>IFERROR(DIST_EXP/NS*100,"B")</f>
        <v>B</v>
      </c>
      <c r="C291" s="4"/>
      <c r="D291" s="4"/>
      <c r="E291" s="13"/>
      <c r="G291" s="271"/>
      <c r="H291" s="226"/>
    </row>
    <row r="292" spans="1:8">
      <c r="A292" s="423" t="s">
        <v>582</v>
      </c>
      <c r="B292" s="425" t="str">
        <f>IFERROR(PA_AR/NS*100,"B")</f>
        <v>B</v>
      </c>
      <c r="D292" s="13"/>
      <c r="E292" s="13"/>
      <c r="G292" s="272"/>
    </row>
    <row r="293" spans="1:8">
      <c r="A293" s="423" t="s">
        <v>601</v>
      </c>
      <c r="B293" s="425" t="str">
        <f>IFERROR(PA_AP/NS*100,"B")</f>
        <v>B</v>
      </c>
      <c r="D293" s="13"/>
      <c r="E293" s="13"/>
      <c r="G293" s="272"/>
    </row>
    <row r="294" spans="1:8">
      <c r="A294" s="423" t="s">
        <v>233</v>
      </c>
      <c r="B294" s="425" t="str">
        <f>IFERROR(PA_IT/NS*100,"B")</f>
        <v>B</v>
      </c>
      <c r="D294" s="13"/>
      <c r="E294" s="13"/>
      <c r="G294" s="271"/>
    </row>
    <row r="295" spans="1:8">
      <c r="A295" s="423" t="s">
        <v>602</v>
      </c>
      <c r="B295" s="425" t="str">
        <f>IFERROR(PA_CustSvc/NS*100,"B")</f>
        <v>B</v>
      </c>
      <c r="D295" s="13"/>
      <c r="E295" s="13"/>
      <c r="G295" s="271"/>
    </row>
    <row r="296" spans="1:8">
      <c r="A296" s="407" t="s">
        <v>603</v>
      </c>
      <c r="B296" s="425" t="str">
        <f>IFERROR(PA_Tele/NS*100,"B")</f>
        <v>B</v>
      </c>
      <c r="D296" s="4"/>
      <c r="E296" s="13"/>
      <c r="G296" s="271"/>
    </row>
    <row r="297" spans="1:8">
      <c r="A297" s="407"/>
      <c r="B297" s="407"/>
      <c r="D297" s="4"/>
      <c r="E297" s="13"/>
      <c r="G297" s="300"/>
      <c r="H297" s="226"/>
    </row>
    <row r="298" spans="1:8">
      <c r="A298" s="407"/>
      <c r="B298" s="407"/>
      <c r="C298" s="1"/>
      <c r="D298" s="4"/>
      <c r="E298" s="13"/>
      <c r="G298" s="288"/>
      <c r="H298" s="226"/>
    </row>
    <row r="299" spans="1:8">
      <c r="A299" s="407" t="s">
        <v>608</v>
      </c>
      <c r="B299" s="425" t="str">
        <f>IFERROR(SAL_Admin/NS*100,"B")</f>
        <v>B</v>
      </c>
      <c r="C299" s="1"/>
      <c r="D299" s="4"/>
      <c r="E299" s="13"/>
      <c r="G299" s="288"/>
      <c r="H299" s="226"/>
    </row>
    <row r="300" spans="1:8">
      <c r="A300" s="407" t="s">
        <v>604</v>
      </c>
      <c r="B300" s="425" t="str">
        <f>IFERROR(PT_Admin/NS*100,"B")</f>
        <v>B</v>
      </c>
      <c r="C300" s="302"/>
      <c r="D300" s="4"/>
      <c r="E300" s="13"/>
      <c r="G300" s="272"/>
    </row>
    <row r="301" spans="1:8">
      <c r="A301" s="407" t="s">
        <v>605</v>
      </c>
      <c r="B301" s="425" t="str">
        <f>IFERROR(GRP_INS_Admin/NS*100,"B")</f>
        <v>B</v>
      </c>
      <c r="C301" s="302"/>
      <c r="D301" s="4"/>
      <c r="E301" s="13"/>
      <c r="G301" s="272"/>
      <c r="H301" s="225"/>
    </row>
    <row r="302" spans="1:8">
      <c r="A302" s="407" t="s">
        <v>606</v>
      </c>
      <c r="B302" s="455" t="str">
        <f>IFERROR(BENE_Admin/NS*100,"B")</f>
        <v>B</v>
      </c>
      <c r="C302" s="302"/>
      <c r="D302" s="4"/>
      <c r="E302" s="13"/>
      <c r="G302" s="272"/>
      <c r="H302" s="225"/>
    </row>
    <row r="303" spans="1:8">
      <c r="A303" s="407" t="s">
        <v>607</v>
      </c>
      <c r="B303" s="425" t="str">
        <f>IFERROR(PA_Admin/NS*100,"B")</f>
        <v>B</v>
      </c>
      <c r="C303" s="302"/>
      <c r="D303" s="4"/>
      <c r="E303" s="13"/>
      <c r="G303" s="272"/>
      <c r="H303" s="225"/>
    </row>
    <row r="304" spans="1:8">
      <c r="A304" s="407" t="s">
        <v>609</v>
      </c>
      <c r="B304" s="425" t="str">
        <f>IFERROR(ProfFees/NS*100,"B")</f>
        <v>B</v>
      </c>
      <c r="C304" s="302"/>
      <c r="D304" s="4"/>
      <c r="E304" s="13"/>
      <c r="G304" s="272"/>
      <c r="H304" s="225"/>
    </row>
    <row r="305" spans="1:8">
      <c r="A305" s="407" t="s">
        <v>189</v>
      </c>
      <c r="B305" s="425" t="str">
        <f>IFERROR(MIS/NS*100,"B")</f>
        <v>B</v>
      </c>
      <c r="C305" s="302"/>
      <c r="D305" s="4"/>
      <c r="E305" s="13"/>
      <c r="G305" s="272"/>
      <c r="H305" s="225"/>
    </row>
    <row r="306" spans="1:8">
      <c r="A306" s="407" t="s">
        <v>121</v>
      </c>
      <c r="B306" s="425" t="str">
        <f>IFERROR(Ins/NS*100,"B")</f>
        <v>B</v>
      </c>
      <c r="C306" s="302"/>
      <c r="D306" s="4"/>
      <c r="E306" s="13"/>
      <c r="G306" s="272"/>
      <c r="H306" s="225"/>
    </row>
    <row r="307" spans="1:8">
      <c r="A307" s="407" t="s">
        <v>246</v>
      </c>
      <c r="B307" s="425" t="str">
        <f>IFERROR(BD/NS*100,"B")</f>
        <v>B</v>
      </c>
      <c r="C307" s="302"/>
      <c r="D307" s="4"/>
      <c r="E307" s="13"/>
      <c r="G307" s="272"/>
      <c r="H307" s="225"/>
    </row>
    <row r="308" spans="1:8">
      <c r="A308" s="407"/>
      <c r="B308" s="407"/>
      <c r="C308" s="302"/>
      <c r="D308" s="4"/>
      <c r="E308" s="181"/>
      <c r="G308" s="272"/>
      <c r="H308" s="225"/>
    </row>
    <row r="309" spans="1:8">
      <c r="A309" s="449" t="s">
        <v>610</v>
      </c>
      <c r="B309" s="456" t="str">
        <f>IFERROR(Admin_Exp/NS*100,"B")</f>
        <v>B</v>
      </c>
      <c r="C309" s="302"/>
      <c r="D309" s="4"/>
      <c r="E309" s="13"/>
      <c r="G309" s="272"/>
      <c r="H309" s="225"/>
    </row>
    <row r="310" spans="1:8">
      <c r="A310" s="407"/>
      <c r="B310" s="407"/>
      <c r="C310" s="302"/>
      <c r="D310" s="4"/>
      <c r="E310" s="13"/>
      <c r="G310" s="272"/>
      <c r="H310" s="225"/>
    </row>
    <row r="311" spans="1:8">
      <c r="A311" s="407"/>
      <c r="B311" s="407"/>
      <c r="C311" s="302"/>
      <c r="D311" s="4"/>
      <c r="E311" s="181"/>
      <c r="G311" s="272"/>
      <c r="H311" s="225"/>
    </row>
    <row r="312" spans="1:8">
      <c r="A312" s="407"/>
      <c r="B312" s="407"/>
      <c r="C312" s="302"/>
      <c r="D312" s="4"/>
      <c r="E312" s="13"/>
      <c r="G312" s="272"/>
      <c r="H312" s="225"/>
    </row>
    <row r="313" spans="1:8">
      <c r="A313" s="407"/>
      <c r="B313" s="407"/>
      <c r="C313" s="302"/>
      <c r="D313" s="4"/>
      <c r="E313" s="13"/>
      <c r="G313" s="272"/>
      <c r="H313" s="225"/>
    </row>
    <row r="314" spans="1:8">
      <c r="A314" s="407"/>
      <c r="B314" s="407"/>
      <c r="C314" s="302"/>
      <c r="D314" s="4"/>
      <c r="E314" s="181"/>
      <c r="G314" s="272"/>
      <c r="H314" s="225"/>
    </row>
    <row r="315" spans="1:8">
      <c r="A315" s="407"/>
      <c r="B315" s="407"/>
      <c r="C315" s="302"/>
      <c r="D315" s="4"/>
      <c r="E315" s="181"/>
      <c r="G315" s="272"/>
      <c r="H315" s="225"/>
    </row>
    <row r="316" spans="1:8">
      <c r="A316" s="407"/>
      <c r="B316" s="407"/>
      <c r="C316" s="302"/>
      <c r="D316" s="4"/>
      <c r="E316" s="181"/>
      <c r="G316" s="272"/>
      <c r="H316" s="225"/>
    </row>
    <row r="317" spans="1:8">
      <c r="A317" s="407"/>
      <c r="B317" s="407"/>
      <c r="C317" s="302"/>
      <c r="D317" s="4"/>
      <c r="E317" s="181"/>
      <c r="G317" s="272"/>
      <c r="H317" s="225"/>
    </row>
    <row r="318" spans="1:8">
      <c r="A318" s="305" t="s">
        <v>372</v>
      </c>
      <c r="B318" s="305"/>
    </row>
    <row r="319" spans="1:8">
      <c r="A319" s="4" t="s">
        <v>654</v>
      </c>
      <c r="B319" s="225">
        <v>1</v>
      </c>
    </row>
    <row r="320" spans="1:8">
      <c r="A320" s="4" t="s">
        <v>204</v>
      </c>
      <c r="B320" s="226" t="str">
        <f>IFERROR(PA_Exec/GP_2*100,"B")</f>
        <v>B</v>
      </c>
      <c r="D320" s="4" t="s">
        <v>235</v>
      </c>
      <c r="E320" s="226" t="str">
        <f>IFERROR(PA_SlsMgr/GP_2*100,"B")</f>
        <v>B</v>
      </c>
    </row>
    <row r="321" spans="1:5">
      <c r="A321" s="4" t="s">
        <v>236</v>
      </c>
      <c r="B321" s="226" t="str">
        <f>IFERROR(PA_Out/GP_2*100,"B")</f>
        <v>B</v>
      </c>
      <c r="D321" s="4" t="s">
        <v>236</v>
      </c>
      <c r="E321" s="226" t="str">
        <f>IFERROR(PA_Out/GP_2*100,"B")</f>
        <v>B</v>
      </c>
    </row>
    <row r="322" spans="1:5">
      <c r="A322" s="13" t="s">
        <v>207</v>
      </c>
      <c r="B322" s="226" t="str">
        <f>IFERROR(PA_WHS/GP_2*100,"B")</f>
        <v>B</v>
      </c>
      <c r="D322" s="4" t="s">
        <v>205</v>
      </c>
      <c r="E322" s="226" t="str">
        <f>IFERROR(PA_Inside/GP_2*100,"B")</f>
        <v>B</v>
      </c>
    </row>
    <row r="323" spans="1:5">
      <c r="A323" s="4" t="s">
        <v>232</v>
      </c>
      <c r="B323" s="226" t="str">
        <f>IFERROR(PA_Driver/GP_2*100,"B")</f>
        <v>B</v>
      </c>
      <c r="D323" s="4" t="s">
        <v>580</v>
      </c>
      <c r="E323" s="226" t="str">
        <f>IFERROR(PA_Mdse/GP_2*100,"B")</f>
        <v>B</v>
      </c>
    </row>
    <row r="324" spans="1:5">
      <c r="A324" s="4" t="s">
        <v>201</v>
      </c>
      <c r="B324" s="246" t="str">
        <f>IFERROR(PA_OTH/GP_2*100,"B")</f>
        <v>B</v>
      </c>
      <c r="D324" s="13" t="s">
        <v>234</v>
      </c>
      <c r="E324" s="246" t="str">
        <f>IFERROR(PA_Pur/GP_2*100,"B")</f>
        <v>B</v>
      </c>
    </row>
    <row r="325" spans="1:5">
      <c r="A325" s="271" t="s">
        <v>182</v>
      </c>
      <c r="B325" s="226" t="str">
        <f>IFERROR(SAL/GP_2*100,"B")</f>
        <v>B</v>
      </c>
      <c r="D325" s="4" t="s">
        <v>586</v>
      </c>
      <c r="E325" s="226" t="str">
        <f>IFERROR(Sal_Sls/GP_2*100,"B")</f>
        <v>B</v>
      </c>
    </row>
    <row r="326" spans="1:5">
      <c r="A326" s="271" t="s">
        <v>183</v>
      </c>
      <c r="B326" s="226" t="str">
        <f>IFERROR(PT/GP_2*100,"B")</f>
        <v>B</v>
      </c>
      <c r="D326" s="4" t="s">
        <v>587</v>
      </c>
      <c r="E326" s="226" t="str">
        <f>IFERROR(PT_Sls/GP_2*100,"B")</f>
        <v>B</v>
      </c>
    </row>
    <row r="327" spans="1:5">
      <c r="A327" s="271" t="s">
        <v>185</v>
      </c>
      <c r="B327" s="226" t="str">
        <f>IFERROR(GRP_INS/GP_2*100,"B")</f>
        <v>B</v>
      </c>
      <c r="D327" s="4" t="s">
        <v>588</v>
      </c>
      <c r="E327" s="226" t="str">
        <f>IFERROR(GRP_INS_Sls/GP_2*100,"B")</f>
        <v>B</v>
      </c>
    </row>
    <row r="328" spans="1:5">
      <c r="A328" s="271" t="s">
        <v>184</v>
      </c>
      <c r="B328" s="246" t="str">
        <f>IFERROR(BENE/GP_2*100,"B")</f>
        <v>B</v>
      </c>
      <c r="D328" s="4" t="s">
        <v>589</v>
      </c>
      <c r="E328" s="246" t="str">
        <f>IFERROR(BENE_Sls/GP_2*100,"B")</f>
        <v>B</v>
      </c>
    </row>
    <row r="329" spans="1:5">
      <c r="A329" s="271" t="s">
        <v>125</v>
      </c>
      <c r="B329" s="226" t="str">
        <f>IFERROR(PA/GP_2*100,"B")</f>
        <v>B</v>
      </c>
      <c r="D329" s="4" t="s">
        <v>590</v>
      </c>
      <c r="E329" s="226" t="str">
        <f>IFERROR(PA_Sls/GP_2*100,"B")</f>
        <v>B</v>
      </c>
    </row>
    <row r="330" spans="1:5">
      <c r="A330" s="13" t="s">
        <v>186</v>
      </c>
      <c r="B330" s="226" t="str">
        <f>IFERROR(OC/GP_2*100,"B")</f>
        <v>B</v>
      </c>
      <c r="D330" s="13" t="s">
        <v>583</v>
      </c>
      <c r="E330" s="226" t="str">
        <f>IFERROR(TRVL/GP_2*100,"B")</f>
        <v>B</v>
      </c>
    </row>
    <row r="331" spans="1:5">
      <c r="A331" s="4" t="s">
        <v>187</v>
      </c>
      <c r="B331" s="226" t="str">
        <f>IFERROR(VEH/GP_2*100,"B")</f>
        <v>B</v>
      </c>
      <c r="D331" s="4" t="s">
        <v>187</v>
      </c>
      <c r="E331" s="226" t="str">
        <f>IFERROR(VEH/GP_2*100,"B")</f>
        <v>B</v>
      </c>
    </row>
    <row r="332" spans="1:5">
      <c r="A332" s="4" t="s">
        <v>122</v>
      </c>
      <c r="B332" s="226" t="str">
        <f>IFERROR(DPR/GP_2*100,"B")</f>
        <v>B</v>
      </c>
      <c r="D332" s="4" t="s">
        <v>126</v>
      </c>
      <c r="E332" s="226" t="str">
        <f>IFERROR(AD/GP_2*100,"B")</f>
        <v>B</v>
      </c>
    </row>
    <row r="333" spans="1:5">
      <c r="A333" s="4" t="s">
        <v>127</v>
      </c>
      <c r="B333" s="226" t="str">
        <f>IFERROR(OE/GP_2*100,"B")</f>
        <v>B</v>
      </c>
      <c r="D333" s="4" t="s">
        <v>197</v>
      </c>
      <c r="E333" s="226" t="str">
        <f>IFERROR(Tele/GP_2*100,"B")</f>
        <v>B</v>
      </c>
    </row>
    <row r="334" spans="1:5">
      <c r="A334" s="1" t="s">
        <v>129</v>
      </c>
      <c r="B334" s="226" t="str">
        <f>IFERROR(TE/GP_2*100,"B")</f>
        <v>B</v>
      </c>
      <c r="D334" s="4" t="s">
        <v>584</v>
      </c>
      <c r="E334" s="246" t="str">
        <f>IFERROR(OSELL/GP_2*100,"B")</f>
        <v>B</v>
      </c>
    </row>
    <row r="335" spans="1:5">
      <c r="A335" s="1" t="s">
        <v>130</v>
      </c>
      <c r="B335" s="226" t="str">
        <f>IFERROR(OP_2/GP_2*100,"B")</f>
        <v>B</v>
      </c>
      <c r="D335" s="1" t="s">
        <v>585</v>
      </c>
      <c r="E335" s="291" t="str">
        <f>IFERROR(SLS_EXP/GP_2*100,"B")</f>
        <v>B</v>
      </c>
    </row>
    <row r="336" spans="1:5">
      <c r="A336" s="4" t="s">
        <v>131</v>
      </c>
      <c r="B336" s="226" t="str">
        <f>IFERROR(OI/GP_2*100,"B")</f>
        <v>B</v>
      </c>
      <c r="D336" s="13" t="s">
        <v>207</v>
      </c>
      <c r="E336" s="226" t="str">
        <f>IFERROR(PA_WHS/GP_2*100,"B")</f>
        <v>B</v>
      </c>
    </row>
    <row r="337" spans="1:5">
      <c r="A337" s="4" t="s">
        <v>132</v>
      </c>
      <c r="B337" s="226" t="str">
        <f>IFERROR(Int/GP_2*100,"B")</f>
        <v>B</v>
      </c>
      <c r="D337" s="4" t="s">
        <v>581</v>
      </c>
      <c r="E337" s="226" t="str">
        <f>IFERROR(PA_Recv/GP_2*100,"B")</f>
        <v>B</v>
      </c>
    </row>
    <row r="338" spans="1:5">
      <c r="A338" s="4" t="s">
        <v>133</v>
      </c>
      <c r="B338" s="226" t="str">
        <f>IFERROR(Oex/GP_2*100,"B")</f>
        <v>B</v>
      </c>
      <c r="D338" s="4" t="s">
        <v>591</v>
      </c>
      <c r="E338" s="226" t="str">
        <f>IFERROR(PA_Pick/GP_2*100,"B")</f>
        <v>B</v>
      </c>
    </row>
    <row r="339" spans="1:5">
      <c r="A339" s="1" t="s">
        <v>134</v>
      </c>
      <c r="B339" s="225" t="str">
        <f>IFERROR(PBT_2/GP_2,"B")</f>
        <v>B</v>
      </c>
      <c r="D339" s="4" t="s">
        <v>232</v>
      </c>
      <c r="E339" s="246" t="str">
        <f>IFERROR(PA_Driver/GP_2*100,"B")</f>
        <v>B</v>
      </c>
    </row>
    <row r="340" spans="1:5">
      <c r="A340" s="407"/>
      <c r="B340" s="407" t="s">
        <v>196</v>
      </c>
      <c r="D340" s="4" t="s">
        <v>592</v>
      </c>
      <c r="E340" s="226" t="str">
        <f>IFERROR(Sal_Dist/GP_2*100,"B")</f>
        <v>B</v>
      </c>
    </row>
    <row r="341" spans="1:5">
      <c r="A341" s="407"/>
      <c r="B341" s="407" t="s">
        <v>196</v>
      </c>
      <c r="D341" s="4" t="s">
        <v>593</v>
      </c>
      <c r="E341" s="226" t="str">
        <f>IFERROR(PT_Dist/GP_2*100,"B")</f>
        <v>B</v>
      </c>
    </row>
    <row r="342" spans="1:5">
      <c r="A342" s="407"/>
      <c r="B342" s="407" t="s">
        <v>196</v>
      </c>
      <c r="D342" s="4" t="s">
        <v>594</v>
      </c>
      <c r="E342" s="226" t="str">
        <f>IFERROR(GRP_INS_Dist/GP_2*100,"B")</f>
        <v>B</v>
      </c>
    </row>
    <row r="343" spans="1:5">
      <c r="A343" s="407"/>
      <c r="B343" s="407" t="s">
        <v>196</v>
      </c>
      <c r="D343" s="4" t="s">
        <v>595</v>
      </c>
      <c r="E343" s="246" t="str">
        <f>IFERROR(BENE_Dist/GP_2*100,"B")</f>
        <v>B</v>
      </c>
    </row>
    <row r="344" spans="1:5">
      <c r="A344" s="407"/>
      <c r="B344" s="407" t="s">
        <v>196</v>
      </c>
      <c r="D344" s="4" t="s">
        <v>596</v>
      </c>
      <c r="E344" s="226" t="str">
        <f>IFERROR(PA_Dist/GP_2*100,"B")</f>
        <v>B</v>
      </c>
    </row>
    <row r="345" spans="1:5">
      <c r="A345" s="407"/>
      <c r="B345" s="407" t="s">
        <v>196</v>
      </c>
      <c r="D345" s="4" t="s">
        <v>597</v>
      </c>
      <c r="E345" s="226" t="str">
        <f>IFERROR(Veh_Del/GP_2*100,"B")</f>
        <v>B</v>
      </c>
    </row>
    <row r="346" spans="1:5">
      <c r="A346" s="407"/>
      <c r="B346" s="407" t="s">
        <v>196</v>
      </c>
      <c r="D346" s="4" t="s">
        <v>118</v>
      </c>
      <c r="E346" s="226" t="str">
        <f>IFERROR(UT/GP_2*100,"B")</f>
        <v>B</v>
      </c>
    </row>
    <row r="347" spans="1:5">
      <c r="A347" s="407"/>
      <c r="B347" s="407" t="s">
        <v>196</v>
      </c>
      <c r="D347" s="4" t="s">
        <v>117</v>
      </c>
      <c r="E347" s="226" t="str">
        <f>IFERROR(RM/GP_2*100,"B")</f>
        <v>B</v>
      </c>
    </row>
    <row r="348" spans="1:5">
      <c r="A348" s="407"/>
      <c r="B348" s="407" t="s">
        <v>196</v>
      </c>
      <c r="D348" s="4" t="s">
        <v>119</v>
      </c>
      <c r="E348" s="226" t="str">
        <f>IFERROR(Rent/GP_2*100,"B")</f>
        <v>B</v>
      </c>
    </row>
    <row r="349" spans="1:5">
      <c r="A349" s="407"/>
      <c r="B349" s="407" t="s">
        <v>196</v>
      </c>
      <c r="D349" s="4" t="s">
        <v>598</v>
      </c>
      <c r="E349" s="226" t="str">
        <f>IFERROR(FO/GP_2*100,"B")</f>
        <v>B</v>
      </c>
    </row>
    <row r="350" spans="1:5">
      <c r="A350" s="407"/>
      <c r="B350" s="407" t="s">
        <v>196</v>
      </c>
      <c r="D350" s="4" t="s">
        <v>122</v>
      </c>
      <c r="E350" s="226" t="str">
        <f>IFERROR(DPR/GP_2*100,"B")</f>
        <v>B</v>
      </c>
    </row>
    <row r="351" spans="1:5">
      <c r="A351" s="407"/>
      <c r="B351" s="407" t="s">
        <v>196</v>
      </c>
      <c r="D351" s="4" t="s">
        <v>599</v>
      </c>
      <c r="E351" s="246" t="str">
        <f>IFERROR(ODIST/GP_2*100,"B")</f>
        <v>B</v>
      </c>
    </row>
    <row r="352" spans="1:5">
      <c r="A352" s="407"/>
      <c r="B352" s="407" t="s">
        <v>196</v>
      </c>
      <c r="D352" s="1" t="s">
        <v>600</v>
      </c>
      <c r="E352" s="291" t="str">
        <f>IFERROR(DIST_EXP/GP_2*100,"B")</f>
        <v>B</v>
      </c>
    </row>
    <row r="353" spans="1:5">
      <c r="A353" s="407"/>
      <c r="B353" s="407" t="s">
        <v>196</v>
      </c>
      <c r="D353" s="13" t="s">
        <v>582</v>
      </c>
      <c r="E353" s="226" t="str">
        <f>IFERROR(PA_AR/GP_2*100,"B")</f>
        <v>B</v>
      </c>
    </row>
    <row r="354" spans="1:5">
      <c r="A354" s="407"/>
      <c r="B354" s="407" t="s">
        <v>196</v>
      </c>
      <c r="D354" s="13" t="s">
        <v>601</v>
      </c>
      <c r="E354" s="226" t="str">
        <f>IFERROR(PA_AP/GP_2*100,"B")</f>
        <v>B</v>
      </c>
    </row>
    <row r="355" spans="1:5">
      <c r="A355" s="407"/>
      <c r="B355" s="407" t="s">
        <v>196</v>
      </c>
      <c r="D355" s="13" t="s">
        <v>233</v>
      </c>
      <c r="E355" s="226" t="str">
        <f>IFERROR(PA_IT/GP_2*100,"B")</f>
        <v>B</v>
      </c>
    </row>
    <row r="356" spans="1:5">
      <c r="A356" s="407"/>
      <c r="B356" s="407" t="s">
        <v>196</v>
      </c>
      <c r="D356" s="13" t="s">
        <v>602</v>
      </c>
      <c r="E356" s="226" t="str">
        <f>IFERROR(PA_CustSvc/GP_2*100,"B")</f>
        <v>B</v>
      </c>
    </row>
    <row r="357" spans="1:5">
      <c r="A357" s="407"/>
      <c r="B357" s="407" t="s">
        <v>196</v>
      </c>
      <c r="D357" s="4" t="s">
        <v>603</v>
      </c>
      <c r="E357" s="226" t="str">
        <f>IFERROR(PA_Tele/GP_2*100,"B")</f>
        <v>B</v>
      </c>
    </row>
    <row r="358" spans="1:5">
      <c r="A358" s="407"/>
      <c r="B358" s="407" t="s">
        <v>196</v>
      </c>
      <c r="D358" s="4"/>
      <c r="E358" s="4"/>
    </row>
    <row r="359" spans="1:5">
      <c r="A359" s="407"/>
      <c r="B359" s="407" t="s">
        <v>196</v>
      </c>
      <c r="D359" s="4"/>
      <c r="E359" s="4"/>
    </row>
    <row r="360" spans="1:5">
      <c r="A360" s="407"/>
      <c r="B360" s="407" t="s">
        <v>196</v>
      </c>
      <c r="D360" s="4" t="s">
        <v>608</v>
      </c>
      <c r="E360" s="226" t="str">
        <f>IFERROR(SAL_Admin/GP_2*100,"B")</f>
        <v>B</v>
      </c>
    </row>
    <row r="361" spans="1:5">
      <c r="A361" s="407"/>
      <c r="B361" s="407" t="s">
        <v>196</v>
      </c>
      <c r="D361" s="4" t="s">
        <v>604</v>
      </c>
      <c r="E361" s="226" t="str">
        <f>IFERROR(PT_Admin/GP_2*100,"B")</f>
        <v>B</v>
      </c>
    </row>
    <row r="362" spans="1:5">
      <c r="A362" s="407"/>
      <c r="B362" s="407" t="s">
        <v>196</v>
      </c>
      <c r="D362" s="4" t="s">
        <v>605</v>
      </c>
      <c r="E362" s="226" t="str">
        <f>IFERROR(GRP_INS_Admin/GP_2*100,"B")</f>
        <v>B</v>
      </c>
    </row>
    <row r="363" spans="1:5">
      <c r="A363" s="407"/>
      <c r="B363" s="407" t="s">
        <v>196</v>
      </c>
      <c r="D363" s="4" t="s">
        <v>606</v>
      </c>
      <c r="E363" s="246" t="str">
        <f>IFERROR(BENE_Admin/GP_2*100,"B")</f>
        <v>B</v>
      </c>
    </row>
    <row r="364" spans="1:5">
      <c r="A364" s="407"/>
      <c r="B364" s="407" t="s">
        <v>196</v>
      </c>
      <c r="D364" s="4" t="s">
        <v>607</v>
      </c>
      <c r="E364" s="226" t="str">
        <f>IFERROR(PA_Admin/GP_2*100,"B")</f>
        <v>B</v>
      </c>
    </row>
    <row r="365" spans="1:5">
      <c r="A365" s="407"/>
      <c r="B365" s="407" t="s">
        <v>196</v>
      </c>
      <c r="D365" s="4" t="s">
        <v>609</v>
      </c>
      <c r="E365" s="226" t="str">
        <f>IFERROR(ProfFees/GP_2*100,"B")</f>
        <v>B</v>
      </c>
    </row>
    <row r="366" spans="1:5">
      <c r="A366" s="407"/>
      <c r="B366" s="407" t="s">
        <v>196</v>
      </c>
      <c r="D366" s="4" t="s">
        <v>189</v>
      </c>
      <c r="E366" s="226" t="str">
        <f>IFERROR(MIS/GP_2*100,"B")</f>
        <v>B</v>
      </c>
    </row>
    <row r="367" spans="1:5">
      <c r="A367" s="407"/>
      <c r="B367" s="407" t="s">
        <v>196</v>
      </c>
      <c r="D367" s="4" t="s">
        <v>121</v>
      </c>
      <c r="E367" s="226" t="str">
        <f>IFERROR(Ins/GP_2*100,"B")</f>
        <v>B</v>
      </c>
    </row>
    <row r="368" spans="1:5">
      <c r="A368" s="407"/>
      <c r="B368" s="407" t="s">
        <v>196</v>
      </c>
      <c r="D368" s="4" t="s">
        <v>246</v>
      </c>
      <c r="E368" s="226" t="str">
        <f>IFERROR(BD/GP_2*100,"B")</f>
        <v>B</v>
      </c>
    </row>
    <row r="369" spans="1:5">
      <c r="A369" s="407"/>
      <c r="B369" s="407" t="s">
        <v>196</v>
      </c>
      <c r="D369" s="4" t="s">
        <v>127</v>
      </c>
      <c r="E369" s="226" t="str">
        <f>IFERROR(OE/GP_2*100,"B")</f>
        <v>B</v>
      </c>
    </row>
    <row r="370" spans="1:5">
      <c r="A370" s="407"/>
      <c r="B370" s="407" t="s">
        <v>196</v>
      </c>
      <c r="D370" s="1" t="s">
        <v>610</v>
      </c>
      <c r="E370" s="291" t="str">
        <f>IFERROR(Admin_Exp/GP_2*100,"B")</f>
        <v>B</v>
      </c>
    </row>
    <row r="371" spans="1:5">
      <c r="A371" s="407"/>
      <c r="B371" s="407" t="s">
        <v>196</v>
      </c>
      <c r="D371" s="1" t="s">
        <v>129</v>
      </c>
      <c r="E371" s="226" t="str">
        <f>IFERROR(TE/GP_2*100,"B")</f>
        <v>B</v>
      </c>
    </row>
    <row r="372" spans="1:5">
      <c r="A372" s="407"/>
      <c r="B372" s="407" t="s">
        <v>196</v>
      </c>
      <c r="D372" s="1" t="s">
        <v>130</v>
      </c>
      <c r="E372" s="226" t="str">
        <f>IFERROR(OP_2/GP_2*100,"B")</f>
        <v>B</v>
      </c>
    </row>
    <row r="373" spans="1:5">
      <c r="A373" s="407"/>
      <c r="B373" s="407" t="s">
        <v>196</v>
      </c>
      <c r="D373" s="4" t="s">
        <v>131</v>
      </c>
      <c r="E373" s="226" t="str">
        <f>IFERROR(OI/GP_2*100,"B")</f>
        <v>B</v>
      </c>
    </row>
    <row r="374" spans="1:5">
      <c r="A374" s="407"/>
      <c r="B374" s="407" t="s">
        <v>196</v>
      </c>
      <c r="D374" s="4" t="s">
        <v>132</v>
      </c>
      <c r="E374" s="226" t="str">
        <f>IFERROR(Int/GP_2*100,"B")</f>
        <v>B</v>
      </c>
    </row>
    <row r="375" spans="1:5">
      <c r="A375" s="407"/>
      <c r="B375" s="407" t="s">
        <v>196</v>
      </c>
      <c r="D375" s="4" t="s">
        <v>133</v>
      </c>
      <c r="E375" s="226" t="str">
        <f>IFERROR(Oex/GP_2*100,"B")</f>
        <v>B</v>
      </c>
    </row>
    <row r="376" spans="1:5">
      <c r="A376" s="407"/>
      <c r="B376" s="407" t="s">
        <v>196</v>
      </c>
      <c r="D376" s="1" t="s">
        <v>134</v>
      </c>
      <c r="E376" s="225" t="str">
        <f>IFERROR(PBT_2/GP_2,"B")</f>
        <v>B</v>
      </c>
    </row>
    <row r="377" spans="1:5">
      <c r="A377" s="298" t="s">
        <v>192</v>
      </c>
      <c r="B377" s="290"/>
    </row>
    <row r="378" spans="1:5">
      <c r="A378" s="271" t="s">
        <v>102</v>
      </c>
      <c r="B378" s="287" t="str">
        <f>IFERROR(Cash/TA_2*100,"B")</f>
        <v>B</v>
      </c>
    </row>
    <row r="379" spans="1:5">
      <c r="A379" s="271" t="s">
        <v>103</v>
      </c>
      <c r="B379" s="226" t="str">
        <f>IFERROR(AR/TA_2*100,"B")</f>
        <v>B</v>
      </c>
    </row>
    <row r="380" spans="1:5">
      <c r="A380" s="271" t="s">
        <v>104</v>
      </c>
      <c r="B380" s="226" t="str">
        <f>IFERROR(INV_2/TA_2*100,"B")</f>
        <v>B</v>
      </c>
    </row>
    <row r="381" spans="1:5">
      <c r="A381" s="271" t="s">
        <v>105</v>
      </c>
      <c r="B381" s="246" t="str">
        <f>IFERROR(Oca/TA_2*100,"B")</f>
        <v>B</v>
      </c>
    </row>
    <row r="382" spans="1:5">
      <c r="A382" s="272" t="s">
        <v>101</v>
      </c>
      <c r="B382" s="226" t="str">
        <f>IFERROR(CA_2/TA_2*100,"B")</f>
        <v>B</v>
      </c>
    </row>
    <row r="383" spans="1:5">
      <c r="A383" s="271" t="s">
        <v>107</v>
      </c>
      <c r="B383" s="246" t="str">
        <f>IFERROR(OFA/TA_2*100,"B")</f>
        <v>B</v>
      </c>
    </row>
    <row r="384" spans="1:5">
      <c r="A384" s="272" t="s">
        <v>100</v>
      </c>
      <c r="B384" s="226" t="str">
        <f>IFERROR(TA_2/TA_2*100,"B")</f>
        <v>B</v>
      </c>
    </row>
    <row r="385" spans="1:2">
      <c r="A385" s="271" t="s">
        <v>109</v>
      </c>
      <c r="B385" s="226" t="str">
        <f>IFERROR(AP/TA_2*100,"B")</f>
        <v>B</v>
      </c>
    </row>
    <row r="386" spans="1:2">
      <c r="A386" s="271" t="s">
        <v>110</v>
      </c>
      <c r="B386" s="226" t="str">
        <f>IFERROR(NP/TA_2*100,"B")</f>
        <v>B</v>
      </c>
    </row>
    <row r="387" spans="1:2">
      <c r="A387" s="271" t="s">
        <v>111</v>
      </c>
      <c r="B387" s="246" t="str">
        <f>IFERROR(Ocl/TA_2*100,"B")</f>
        <v>B</v>
      </c>
    </row>
    <row r="388" spans="1:2">
      <c r="A388" s="272" t="s">
        <v>108</v>
      </c>
      <c r="B388" s="226" t="str">
        <f>IFERROR(CL/TA_2*100,"B")</f>
        <v>B</v>
      </c>
    </row>
    <row r="389" spans="1:2">
      <c r="A389" s="271" t="s">
        <v>112</v>
      </c>
      <c r="B389" s="226" t="str">
        <f>IFERROR(LTL/TA_2*100,"B")</f>
        <v>B</v>
      </c>
    </row>
    <row r="390" spans="1:2">
      <c r="A390" s="271" t="s">
        <v>257</v>
      </c>
      <c r="B390" s="246" t="str">
        <f>IFERROR(NW_2/TA_2*100,"B")</f>
        <v>B</v>
      </c>
    </row>
    <row r="391" spans="1:2">
      <c r="A391" s="272" t="s">
        <v>115</v>
      </c>
      <c r="B391" s="226" t="str">
        <f>B384</f>
        <v>B</v>
      </c>
    </row>
    <row r="392" spans="1:2">
      <c r="A392" s="272"/>
      <c r="B392" s="286"/>
    </row>
    <row r="393" spans="1:2">
      <c r="A393" s="255" t="s">
        <v>331</v>
      </c>
      <c r="B393" s="227" t="str">
        <f>IFERROR((NS/12)/Shipments,"B")</f>
        <v>B</v>
      </c>
    </row>
    <row r="394" spans="1:2">
      <c r="A394" s="255" t="s">
        <v>332</v>
      </c>
      <c r="B394" s="227" t="str">
        <f>IFERROR(NS/SKU,"B")</f>
        <v>B</v>
      </c>
    </row>
    <row r="395" spans="1:2">
      <c r="A395" s="255" t="s">
        <v>333</v>
      </c>
      <c r="B395" s="227" t="str">
        <f>IFERROR(AVG_2/SKU,"B")</f>
        <v>B</v>
      </c>
    </row>
    <row r="396" spans="1:2">
      <c r="A396" s="273" t="s">
        <v>334</v>
      </c>
      <c r="B396" s="227" t="str">
        <f>IFERROR(NS/CUST,"B")</f>
        <v>B</v>
      </c>
    </row>
    <row r="397" spans="1:2">
      <c r="A397" s="255" t="s">
        <v>335</v>
      </c>
      <c r="B397" s="227" t="str">
        <f>IFERROR(NS/(Orders*12),"B")</f>
        <v>B</v>
      </c>
    </row>
    <row r="398" spans="1:2">
      <c r="A398" s="255" t="s">
        <v>336</v>
      </c>
      <c r="B398" s="227" t="str">
        <f>IFERROR(NS/(Orders*(Lines*12)),"B")</f>
        <v>B</v>
      </c>
    </row>
    <row r="399" spans="1:2">
      <c r="A399" s="255" t="s">
        <v>337</v>
      </c>
      <c r="B399" s="285" t="str">
        <f>IFERROR((ARDAYS+INVDAYS)-APDAYS,"B")</f>
        <v>B</v>
      </c>
    </row>
    <row r="400" spans="1:2">
      <c r="A400" s="255" t="s">
        <v>338</v>
      </c>
      <c r="B400" s="285" t="str">
        <f>IFERROR((ARDAYS+INVDAYS),"B")</f>
        <v>B</v>
      </c>
    </row>
    <row r="402" spans="1:2">
      <c r="A402" s="254" t="s">
        <v>347</v>
      </c>
    </row>
    <row r="403" spans="1:2">
      <c r="A403" s="4" t="s">
        <v>348</v>
      </c>
    </row>
    <row r="404" spans="1:2">
      <c r="A404" s="4" t="s">
        <v>349</v>
      </c>
    </row>
    <row r="405" spans="1:2">
      <c r="A405" s="4" t="s">
        <v>611</v>
      </c>
      <c r="B405" s="429" t="str">
        <f>IF(ISBLANK(Market),"b",Market*1000)</f>
        <v>b</v>
      </c>
    </row>
    <row r="407" spans="1:2">
      <c r="A407" s="253" t="s">
        <v>350</v>
      </c>
    </row>
    <row r="408" spans="1:2">
      <c r="A408" s="4" t="s">
        <v>299</v>
      </c>
    </row>
    <row r="409" spans="1:2">
      <c r="A409" s="4" t="s">
        <v>300</v>
      </c>
    </row>
    <row r="410" spans="1:2">
      <c r="A410" s="4" t="s">
        <v>301</v>
      </c>
    </row>
    <row r="411" spans="1:2">
      <c r="A411" s="4" t="s">
        <v>302</v>
      </c>
    </row>
    <row r="412" spans="1:2">
      <c r="A412" s="4" t="s">
        <v>303</v>
      </c>
    </row>
    <row r="413" spans="1:2">
      <c r="A413" s="4" t="s">
        <v>123</v>
      </c>
    </row>
    <row r="414" spans="1:2">
      <c r="A414" s="1" t="s">
        <v>124</v>
      </c>
    </row>
    <row r="415" spans="1:2">
      <c r="A415" s="4" t="s">
        <v>125</v>
      </c>
    </row>
    <row r="416" spans="1:2">
      <c r="A416" s="4" t="s">
        <v>186</v>
      </c>
    </row>
    <row r="417" spans="1:1">
      <c r="A417" s="4" t="s">
        <v>128</v>
      </c>
    </row>
    <row r="418" spans="1:1">
      <c r="A418" s="1" t="s">
        <v>129</v>
      </c>
    </row>
    <row r="419" spans="1:1">
      <c r="A419" s="1" t="s">
        <v>130</v>
      </c>
    </row>
    <row r="420" spans="1:1">
      <c r="A420" s="4" t="s">
        <v>304</v>
      </c>
    </row>
    <row r="421" spans="1:1">
      <c r="A421" s="4" t="s">
        <v>305</v>
      </c>
    </row>
    <row r="422" spans="1:1">
      <c r="A422" s="4" t="s">
        <v>307</v>
      </c>
    </row>
    <row r="423" spans="1:1">
      <c r="A423" s="4" t="s">
        <v>310</v>
      </c>
    </row>
    <row r="424" spans="1:1">
      <c r="A424" s="4" t="s">
        <v>311</v>
      </c>
    </row>
    <row r="425" spans="1:1">
      <c r="A425" s="4" t="s">
        <v>312</v>
      </c>
    </row>
    <row r="426" spans="1:1">
      <c r="A426" s="4" t="s">
        <v>313</v>
      </c>
    </row>
    <row r="427" spans="1:1">
      <c r="A427" s="4" t="s">
        <v>314</v>
      </c>
    </row>
    <row r="428" spans="1:1">
      <c r="A428" s="4" t="s">
        <v>315</v>
      </c>
    </row>
    <row r="429" spans="1:1">
      <c r="A429" s="4" t="s">
        <v>316</v>
      </c>
    </row>
    <row r="430" spans="1:1">
      <c r="A430" s="4" t="s">
        <v>317</v>
      </c>
    </row>
    <row r="431" spans="1:1">
      <c r="A431" s="4" t="s">
        <v>325</v>
      </c>
    </row>
    <row r="432" spans="1:1">
      <c r="A432" s="4" t="s">
        <v>326</v>
      </c>
    </row>
    <row r="433" spans="1:2">
      <c r="A433" s="4" t="s">
        <v>330</v>
      </c>
    </row>
    <row r="436" spans="1:2" ht="16.5">
      <c r="A436" s="307" t="s">
        <v>420</v>
      </c>
      <c r="B436" s="306"/>
    </row>
    <row r="437" spans="1:2">
      <c r="A437" s="313" t="s">
        <v>358</v>
      </c>
      <c r="B437" s="313"/>
    </row>
    <row r="438" spans="1:2">
      <c r="A438" s="312" t="s">
        <v>359</v>
      </c>
      <c r="B438" s="227" t="str">
        <f>IFERROR(NS/Emp,"B")</f>
        <v>B</v>
      </c>
    </row>
    <row r="439" spans="1:2">
      <c r="A439" s="312" t="s">
        <v>360</v>
      </c>
      <c r="B439" s="225" t="str">
        <f>IFERROR(GP_2/NS,"B")</f>
        <v>B</v>
      </c>
    </row>
    <row r="440" spans="1:2">
      <c r="A440" s="312" t="s">
        <v>164</v>
      </c>
      <c r="B440" s="225" t="str">
        <f>IFERROR(TE/NS,"B")</f>
        <v>B</v>
      </c>
    </row>
    <row r="441" spans="1:2">
      <c r="A441" s="312" t="s">
        <v>361</v>
      </c>
      <c r="B441" s="226" t="str">
        <f>IFERROR(WHSCOGS/AVG_2,"B")</f>
        <v>B</v>
      </c>
    </row>
    <row r="442" spans="1:2">
      <c r="A442" s="312" t="s">
        <v>362</v>
      </c>
      <c r="B442" s="226" t="str">
        <f>IFERROR((AAR/((NS*(100-CSH)/100)/365)),"B")</f>
        <v>B</v>
      </c>
    </row>
    <row r="443" spans="1:2" ht="16.5">
      <c r="A443" s="427"/>
      <c r="B443" s="426"/>
    </row>
    <row r="444" spans="1:2">
      <c r="A444" s="305" t="s">
        <v>421</v>
      </c>
      <c r="B444" s="309"/>
    </row>
    <row r="445" spans="1:2">
      <c r="A445" s="236" t="s">
        <v>351</v>
      </c>
      <c r="B445" s="308">
        <v>1</v>
      </c>
    </row>
    <row r="446" spans="1:2">
      <c r="A446" s="236" t="s">
        <v>363</v>
      </c>
      <c r="B446" s="323" t="str">
        <f>IF(NS&gt;0,NS/1000000,"b")</f>
        <v>b</v>
      </c>
    </row>
    <row r="447" spans="1:2">
      <c r="A447" s="236" t="s">
        <v>425</v>
      </c>
      <c r="B447" s="225" t="str">
        <f>IFERROR((NS-Prev)/Prev,"B")</f>
        <v>B</v>
      </c>
    </row>
    <row r="448" spans="1:2" ht="1.5" customHeight="1">
      <c r="A448" s="236"/>
    </row>
    <row r="449" spans="1:2">
      <c r="A449" s="237" t="s">
        <v>352</v>
      </c>
    </row>
    <row r="450" spans="1:2">
      <c r="A450" s="236" t="s">
        <v>353</v>
      </c>
      <c r="B450" s="225" t="str">
        <f>IFERROR(PBT_2/NS,"B")</f>
        <v>B</v>
      </c>
    </row>
    <row r="451" spans="1:2">
      <c r="A451" s="236" t="s">
        <v>354</v>
      </c>
      <c r="B451" s="226" t="str">
        <f>IFERROR(NS/TA_2,"B")</f>
        <v>B</v>
      </c>
    </row>
    <row r="452" spans="1:2">
      <c r="A452" s="236" t="s">
        <v>355</v>
      </c>
      <c r="B452" s="225" t="str">
        <f>IFERROR(PBT_2/TA_2,"B")</f>
        <v>B</v>
      </c>
    </row>
    <row r="453" spans="1:2">
      <c r="A453" s="236" t="s">
        <v>356</v>
      </c>
      <c r="B453" s="226" t="str">
        <f>IFERROR(TA_2/NW_2,"B")</f>
        <v>B</v>
      </c>
    </row>
    <row r="454" spans="1:2">
      <c r="A454" s="236" t="s">
        <v>357</v>
      </c>
      <c r="B454" s="225" t="str">
        <f>IFERROR(PBT_2/NW_2,"B")</f>
        <v>B</v>
      </c>
    </row>
    <row r="455" spans="1:2" ht="1.5" customHeight="1">
      <c r="A455" s="238"/>
      <c r="B455" s="308"/>
    </row>
    <row r="456" spans="1:2" ht="1.5" customHeight="1">
      <c r="A456" s="236"/>
      <c r="B456" s="310"/>
    </row>
    <row r="457" spans="1:2">
      <c r="A457" s="237" t="s">
        <v>57</v>
      </c>
      <c r="B457" s="308"/>
    </row>
    <row r="458" spans="1:2">
      <c r="A458" s="243" t="s">
        <v>43</v>
      </c>
      <c r="B458" s="244">
        <v>1</v>
      </c>
    </row>
    <row r="459" spans="1:2">
      <c r="A459" s="242" t="s">
        <v>422</v>
      </c>
      <c r="B459" s="246" t="str">
        <f>IFERROR(COGS_2/NS*100,"B")</f>
        <v>B</v>
      </c>
    </row>
    <row r="460" spans="1:2">
      <c r="A460" s="243" t="s">
        <v>423</v>
      </c>
      <c r="B460" s="291" t="str">
        <f>IFERROR(GP_2/NS*100,"B")</f>
        <v>B</v>
      </c>
    </row>
    <row r="461" spans="1:2" ht="1.5" customHeight="1">
      <c r="A461" s="243"/>
      <c r="B461" s="308"/>
    </row>
    <row r="462" spans="1:2">
      <c r="A462" s="240" t="s">
        <v>160</v>
      </c>
      <c r="B462" s="308"/>
    </row>
    <row r="463" spans="1:2">
      <c r="A463" s="239" t="s">
        <v>161</v>
      </c>
      <c r="B463" s="226" t="str">
        <f>IFERROR(PA/NS*100,"B")</f>
        <v>B</v>
      </c>
    </row>
    <row r="464" spans="1:2">
      <c r="A464" s="239" t="s">
        <v>727</v>
      </c>
      <c r="B464" s="246" t="str">
        <f>IFERROR(B465-B463,"B")</f>
        <v>B</v>
      </c>
    </row>
    <row r="465" spans="1:6">
      <c r="A465" s="283" t="s">
        <v>164</v>
      </c>
      <c r="B465" s="291" t="str">
        <f>IFERROR(TE/NS*100,"B")</f>
        <v>B</v>
      </c>
    </row>
    <row r="466" spans="1:6" ht="1.5" customHeight="1">
      <c r="A466" s="241"/>
    </row>
    <row r="467" spans="1:6" ht="15" customHeight="1">
      <c r="A467" s="243" t="s">
        <v>48</v>
      </c>
      <c r="B467" s="226" t="str">
        <f>IFERROR(OP_2/NS*100,"B")</f>
        <v>B</v>
      </c>
    </row>
    <row r="468" spans="1:6">
      <c r="A468" s="284" t="s">
        <v>424</v>
      </c>
      <c r="B468" s="246" t="str">
        <f>IFERROR(B469*100-B467,"B")</f>
        <v>B</v>
      </c>
    </row>
    <row r="469" spans="1:6">
      <c r="A469" s="245" t="s">
        <v>251</v>
      </c>
      <c r="B469" s="225" t="str">
        <f>IFERROR(PBT_2/NS,"B")</f>
        <v>B</v>
      </c>
    </row>
    <row r="470" spans="1:6">
      <c r="A470" s="407"/>
      <c r="B470" s="407"/>
    </row>
    <row r="471" spans="1:6" ht="1.5" customHeight="1">
      <c r="A471" s="238"/>
      <c r="B471" s="226"/>
    </row>
    <row r="472" spans="1:6" ht="1.5" customHeight="1">
      <c r="A472" s="236"/>
      <c r="B472" s="310"/>
    </row>
    <row r="473" spans="1:6">
      <c r="A473" s="247" t="s">
        <v>403</v>
      </c>
      <c r="B473" s="226"/>
    </row>
    <row r="474" spans="1:6">
      <c r="A474" s="4" t="s">
        <v>493</v>
      </c>
      <c r="B474" s="225" t="str">
        <f>IF(NS_Tot=0,"b",IF(NS_Tot&gt;0,NS_Cigarettes/NS_Tot,0))</f>
        <v>b</v>
      </c>
      <c r="D474" s="4" t="s">
        <v>521</v>
      </c>
      <c r="E474" s="428" t="str">
        <f>IF(NS_Tot=0,"b",IF(NS_Tot&gt;0,NS_Cigarettes,0))</f>
        <v>b</v>
      </c>
      <c r="F474" s="4" t="s">
        <v>500</v>
      </c>
    </row>
    <row r="475" spans="1:6">
      <c r="A475" s="4" t="s">
        <v>494</v>
      </c>
      <c r="B475" s="435" t="str">
        <f>IF(NS_Tot=0,"b",IF(NS_Tot&gt;0,NS_Tobacco/NS_Tot*100,0))</f>
        <v>b</v>
      </c>
      <c r="D475" s="4" t="s">
        <v>522</v>
      </c>
      <c r="E475" s="428" t="str">
        <f>IF(NS_Tot=0,"b",IF(NS_Tot&gt;0,NS_Tobacco,0))</f>
        <v>b</v>
      </c>
    </row>
    <row r="476" spans="1:6">
      <c r="A476" s="4" t="s">
        <v>495</v>
      </c>
      <c r="B476" s="435" t="str">
        <f>IF(NS_Tot=0,"b",IF(NS_Tot&gt;0,NS_Candy/NS_Tot*100,0))</f>
        <v>b</v>
      </c>
      <c r="D476" s="4" t="s">
        <v>523</v>
      </c>
      <c r="E476" s="428" t="str">
        <f>IF(NS_Tot=0,"b",IF(NS_Tot&gt;0,NS_Candy,0))</f>
        <v>b</v>
      </c>
    </row>
    <row r="477" spans="1:6">
      <c r="A477" s="4" t="s">
        <v>496</v>
      </c>
      <c r="B477" s="435" t="str">
        <f>IF(NS_Tot=0,"b",IF(NS_Tot&gt;0,NS_Food/NS_Tot*100,0))</f>
        <v>b</v>
      </c>
      <c r="D477" s="4" t="s">
        <v>524</v>
      </c>
      <c r="E477" s="428" t="str">
        <f>IF(NS_Tot=0,"b",IF(NS_Tot&gt;0,NS_Food,0))</f>
        <v>b</v>
      </c>
    </row>
    <row r="478" spans="1:6">
      <c r="A478" s="4" t="s">
        <v>729</v>
      </c>
      <c r="B478" s="435" t="str">
        <f>IF(NS_Tot=0,"b",IF(NS_Tot&gt;0,NS_Frozen/NS_Tot*100,0))</f>
        <v>b</v>
      </c>
      <c r="D478" s="4" t="s">
        <v>714</v>
      </c>
      <c r="E478" s="428" t="str">
        <f>IF(NS_Tot=0,"b",IF(NS_Tot&gt;0,NS_Frozen,0))</f>
        <v>b</v>
      </c>
    </row>
    <row r="479" spans="1:6">
      <c r="A479" s="4" t="s">
        <v>730</v>
      </c>
      <c r="B479" s="435" t="str">
        <f>IF(NS_Tot=0,"b",IF(NS_Tot&gt;0,NS_Dairy/NS_Tot*100,0))</f>
        <v>b</v>
      </c>
      <c r="D479" s="4" t="s">
        <v>576</v>
      </c>
      <c r="E479" s="428" t="str">
        <f>IF(NS_Tot=0,"b",IF(NS_Tot&gt;0,NS_Dairy,0))</f>
        <v>b</v>
      </c>
    </row>
    <row r="480" spans="1:6">
      <c r="A480" s="4" t="s">
        <v>497</v>
      </c>
      <c r="B480" s="435" t="str">
        <f>IF(NS_Tot=0,"b",IF(NS_Tot&gt;0,NS_Grocery/NS_Tot*100,0))</f>
        <v>b</v>
      </c>
      <c r="D480" s="4" t="s">
        <v>525</v>
      </c>
      <c r="E480" s="428" t="str">
        <f>IF(NS_Tot=0,"b",IF(NS_Tot&gt;0,NS_Grocery,0))</f>
        <v>b</v>
      </c>
    </row>
    <row r="481" spans="1:5">
      <c r="A481" s="4" t="s">
        <v>498</v>
      </c>
      <c r="B481" s="435" t="str">
        <f>IF(NS_Tot=0,"b",IF(NS_Tot&gt;0,NS_HBC/NS_Tot*100,0))</f>
        <v>b</v>
      </c>
      <c r="D481" s="4" t="s">
        <v>526</v>
      </c>
      <c r="E481" s="428" t="str">
        <f>IF(NS_Tot=0,"b",IF(NS_Tot&gt;0,NS_HBC,0))</f>
        <v>b</v>
      </c>
    </row>
    <row r="482" spans="1:5">
      <c r="A482" s="4" t="s">
        <v>499</v>
      </c>
      <c r="B482" s="435" t="str">
        <f>IF(NS_Tot=0,"b",IF(NS_Tot&gt;0,NS_GenlMdse/NS_Tot*100,0))</f>
        <v>b</v>
      </c>
      <c r="D482" s="4" t="s">
        <v>527</v>
      </c>
      <c r="E482" s="428" t="str">
        <f>IF(NS_Tot=0,"b",IF(NS_Tot&gt;0,NS_GenlMdse,0))</f>
        <v>b</v>
      </c>
    </row>
    <row r="483" spans="1:5">
      <c r="A483" s="4" t="s">
        <v>501</v>
      </c>
      <c r="B483" s="435" t="str">
        <f>IF(NS_Tot=0,"b",IF(NS_Tot&gt;0,NS_Beverage/NS_Tot*100,0))</f>
        <v>b</v>
      </c>
      <c r="D483" s="4" t="s">
        <v>577</v>
      </c>
      <c r="E483" s="428" t="str">
        <f>IF(NS_Tot=0,"b",IF(NS_Tot&gt;0,NS_Beverage,0))</f>
        <v>b</v>
      </c>
    </row>
    <row r="484" spans="1:5">
      <c r="A484" s="159" t="s">
        <v>709</v>
      </c>
      <c r="B484" s="435" t="str">
        <f>IF(NS_Tot=0,"b",IF(NS_Tot&gt;0,NS_Paper/NS_Tot*100,0))</f>
        <v>b</v>
      </c>
      <c r="D484" s="4" t="s">
        <v>578</v>
      </c>
      <c r="E484" s="428" t="str">
        <f>IF(NS_Tot=0,"b",IF(NS_Tot&gt;0,NS_Paper,0))</f>
        <v>b</v>
      </c>
    </row>
    <row r="485" spans="1:5">
      <c r="A485" s="4" t="s">
        <v>503</v>
      </c>
      <c r="B485" s="435" t="str">
        <f>IF(NS_Tot=0,"b",IF(NS_Tot&gt;0,NS_Auto/NS_Tot*100,0))</f>
        <v>b</v>
      </c>
      <c r="D485" s="4" t="s">
        <v>579</v>
      </c>
      <c r="E485" s="428" t="str">
        <f>IF(NS_Tot=0,"b",IF(NS_Tot&gt;0,NS_Auto,0))</f>
        <v>b</v>
      </c>
    </row>
    <row r="486" spans="1:5">
      <c r="A486" s="282" t="s">
        <v>404</v>
      </c>
      <c r="B486" s="324" t="str">
        <f>IF(NS_Tot=0,"b",IF(NS_Tot&gt;0,NS_OPROD/NS_Tot*100,0))</f>
        <v>b</v>
      </c>
      <c r="D486" s="4" t="s">
        <v>528</v>
      </c>
      <c r="E486" s="428" t="str">
        <f>IF(NS_Tot=0,"b",IF(NS_Tot&gt;0,NS_OPROD,0))</f>
        <v>b</v>
      </c>
    </row>
    <row r="487" spans="1:5">
      <c r="A487" s="283" t="s">
        <v>265</v>
      </c>
      <c r="B487" s="225">
        <v>1</v>
      </c>
    </row>
    <row r="488" spans="1:5" ht="1.5" customHeight="1">
      <c r="A488" s="247"/>
      <c r="B488" s="226"/>
    </row>
    <row r="489" spans="1:5" ht="1.5" customHeight="1">
      <c r="A489" s="310"/>
      <c r="B489" s="310"/>
    </row>
    <row r="490" spans="1:5">
      <c r="A490" s="247" t="s">
        <v>381</v>
      </c>
      <c r="B490" s="226"/>
    </row>
    <row r="491" spans="1:5">
      <c r="A491" s="282" t="s">
        <v>382</v>
      </c>
      <c r="B491" s="226" t="str">
        <f>IFERROR(CA_2/CL,"B")</f>
        <v>B</v>
      </c>
    </row>
    <row r="492" spans="1:5">
      <c r="A492" s="282" t="s">
        <v>385</v>
      </c>
      <c r="B492" s="226" t="str">
        <f>IFERROR(((AAP)/(COGS_2/365)),"B")</f>
        <v>B</v>
      </c>
    </row>
    <row r="493" spans="1:5">
      <c r="A493" s="282" t="s">
        <v>419</v>
      </c>
      <c r="B493" s="225" t="str">
        <f>IFERROR((PBT_2+Int+DPR)/NS,"B")</f>
        <v>B</v>
      </c>
    </row>
    <row r="494" spans="1:5">
      <c r="A494" s="282" t="s">
        <v>362</v>
      </c>
      <c r="B494" s="226" t="str">
        <f>IFERROR((AAR/((NS*(100-CSH)/100)/365)),"B")</f>
        <v>B</v>
      </c>
    </row>
    <row r="495" spans="1:5">
      <c r="A495" s="282" t="s">
        <v>391</v>
      </c>
      <c r="B495" s="226" t="str">
        <f>IFERROR(WHSCOGS/AVG_2,"B")</f>
        <v>B</v>
      </c>
    </row>
    <row r="496" spans="1:5">
      <c r="A496" s="282" t="s">
        <v>394</v>
      </c>
      <c r="B496" s="225" t="str">
        <f>IFERROR((WHSGP)/AVG_2,"B")</f>
        <v>B</v>
      </c>
    </row>
    <row r="497" spans="1:8" ht="1.5" customHeight="1">
      <c r="A497" s="282"/>
    </row>
    <row r="498" spans="1:8">
      <c r="A498" s="247" t="s">
        <v>323</v>
      </c>
    </row>
    <row r="499" spans="1:8">
      <c r="A499" s="282" t="s">
        <v>359</v>
      </c>
      <c r="B499" s="227" t="str">
        <f>IFERROR(NS/Emp,"B")</f>
        <v>B</v>
      </c>
    </row>
    <row r="500" spans="1:8">
      <c r="A500" s="282" t="s">
        <v>405</v>
      </c>
      <c r="B500" s="227" t="str">
        <f>IFERROR(GP_2/Emp,"B")</f>
        <v>B</v>
      </c>
    </row>
    <row r="501" spans="1:8">
      <c r="A501" s="239" t="s">
        <v>369</v>
      </c>
      <c r="B501" s="225" t="str">
        <f>IFERROR(PA/NS,"B")</f>
        <v>B</v>
      </c>
    </row>
    <row r="502" spans="1:8">
      <c r="A502" s="282" t="s">
        <v>407</v>
      </c>
      <c r="B502" s="289" t="str">
        <f>IFERROR(PA/GP_2,"B")</f>
        <v>B</v>
      </c>
      <c r="C502" s="4"/>
    </row>
    <row r="503" spans="1:8">
      <c r="A503" s="282"/>
      <c r="B503" s="289"/>
      <c r="C503" s="4"/>
    </row>
    <row r="504" spans="1:8">
      <c r="A504" s="313" t="s">
        <v>352</v>
      </c>
      <c r="B504" s="313"/>
    </row>
    <row r="505" spans="1:8">
      <c r="A505" s="311" t="s">
        <v>353</v>
      </c>
      <c r="B505" s="225" t="str">
        <f>IFERROR(PBT_2/NS,"B")</f>
        <v>B</v>
      </c>
    </row>
    <row r="506" spans="1:8">
      <c r="A506" s="311" t="s">
        <v>354</v>
      </c>
      <c r="B506" s="226" t="str">
        <f>IFERROR(NS/TA_2,"B")</f>
        <v>B</v>
      </c>
    </row>
    <row r="507" spans="1:8">
      <c r="A507" s="311" t="s">
        <v>355</v>
      </c>
      <c r="B507" s="225" t="str">
        <f>IFERROR(PBT_2/TA_2,"B")</f>
        <v>B</v>
      </c>
    </row>
    <row r="508" spans="1:8">
      <c r="A508" s="311" t="s">
        <v>356</v>
      </c>
      <c r="B508" s="226" t="str">
        <f>IFERROR(TA_2/NW_2,"B")</f>
        <v>B</v>
      </c>
    </row>
    <row r="509" spans="1:8">
      <c r="A509" s="311" t="s">
        <v>357</v>
      </c>
      <c r="B509" s="225" t="str">
        <f>IFERROR(PBT_2/NW_2,"B")</f>
        <v>B</v>
      </c>
    </row>
    <row r="510" spans="1:8" ht="6" customHeight="1">
      <c r="A510" s="311"/>
      <c r="B510" s="225"/>
    </row>
    <row r="511" spans="1:8">
      <c r="A511" s="313" t="s">
        <v>364</v>
      </c>
      <c r="B511" s="313"/>
    </row>
    <row r="512" spans="1:8">
      <c r="A512" s="236" t="s">
        <v>351</v>
      </c>
      <c r="B512" s="308">
        <v>1</v>
      </c>
      <c r="G512" s="302" t="s">
        <v>365</v>
      </c>
      <c r="H512" s="318">
        <v>1</v>
      </c>
    </row>
    <row r="513" spans="1:8">
      <c r="A513" s="236" t="s">
        <v>363</v>
      </c>
      <c r="B513" s="323" t="str">
        <f>IF(NS&gt;0,NS/1000000,"b")</f>
        <v>b</v>
      </c>
      <c r="G513" s="321" t="s">
        <v>55</v>
      </c>
      <c r="H513" s="317" t="str">
        <f>IFERROR(COGS_2/NS*100,"B")</f>
        <v>B</v>
      </c>
    </row>
    <row r="514" spans="1:8">
      <c r="A514" s="236" t="s">
        <v>425</v>
      </c>
      <c r="B514" s="225" t="str">
        <f>IFERROR((NS-Prev)/Prev,"B")</f>
        <v>B</v>
      </c>
      <c r="G514" s="302" t="s">
        <v>360</v>
      </c>
      <c r="H514" s="319" t="str">
        <f>IFERROR(GP_2/NS*100,"B")</f>
        <v>B</v>
      </c>
    </row>
    <row r="515" spans="1:8" ht="2.1" customHeight="1">
      <c r="G515" s="302"/>
      <c r="H515" s="319"/>
    </row>
    <row r="516" spans="1:8">
      <c r="A516" s="302" t="s">
        <v>365</v>
      </c>
      <c r="B516" s="318">
        <v>1</v>
      </c>
      <c r="D516" s="302" t="s">
        <v>365</v>
      </c>
      <c r="E516" s="318">
        <v>1</v>
      </c>
      <c r="G516" s="302" t="s">
        <v>161</v>
      </c>
      <c r="H516" s="314"/>
    </row>
    <row r="517" spans="1:8">
      <c r="A517" s="321" t="s">
        <v>55</v>
      </c>
      <c r="B517" s="317" t="str">
        <f>IFERROR(COGS_2/NS*100,"B")</f>
        <v>B</v>
      </c>
      <c r="D517" s="321" t="s">
        <v>55</v>
      </c>
      <c r="E517" s="317" t="str">
        <f>IFERROR(COGS_2/NS*100,"B")</f>
        <v>B</v>
      </c>
      <c r="G517" s="157" t="s">
        <v>222</v>
      </c>
      <c r="H517" s="314" t="str">
        <f>IFERROR(PA_Exec/NS*100,"B")</f>
        <v>B</v>
      </c>
    </row>
    <row r="518" spans="1:8">
      <c r="A518" s="302" t="s">
        <v>360</v>
      </c>
      <c r="B518" s="319" t="str">
        <f>IFERROR(GP_2/NS*100,"B")</f>
        <v>B</v>
      </c>
      <c r="D518" s="302" t="s">
        <v>360</v>
      </c>
      <c r="E518" s="319" t="str">
        <f>IFERROR(GP_2/NS*100,"B")</f>
        <v>B</v>
      </c>
      <c r="G518" s="4" t="s">
        <v>224</v>
      </c>
      <c r="H518" s="314"/>
    </row>
    <row r="519" spans="1:8" ht="2.1" customHeight="1">
      <c r="D519" s="4"/>
      <c r="E519" s="4"/>
      <c r="G519" s="157"/>
      <c r="H519" s="314"/>
    </row>
    <row r="520" spans="1:8">
      <c r="A520" s="408" t="s">
        <v>160</v>
      </c>
      <c r="D520" s="408" t="s">
        <v>535</v>
      </c>
      <c r="E520" s="4"/>
      <c r="G520" s="157" t="s">
        <v>225</v>
      </c>
      <c r="H520" s="314"/>
    </row>
    <row r="521" spans="1:8">
      <c r="A521" s="157" t="s">
        <v>735</v>
      </c>
      <c r="B521" s="226" t="str">
        <f>IFERROR(PA_Exec/NS*100,"B")</f>
        <v>B</v>
      </c>
      <c r="D521" s="4" t="s">
        <v>536</v>
      </c>
      <c r="E521" s="226" t="str">
        <f>IFERROR(PA_SlsMgr/NS*100,"B")</f>
        <v>B</v>
      </c>
      <c r="G521" s="4" t="s">
        <v>223</v>
      </c>
      <c r="H521" s="314"/>
    </row>
    <row r="522" spans="1:8">
      <c r="A522" s="4" t="s">
        <v>720</v>
      </c>
      <c r="B522" s="226" t="str">
        <f>IFERROR(PA_Out/NS*100,"B")</f>
        <v>B</v>
      </c>
      <c r="D522" s="4" t="s">
        <v>537</v>
      </c>
      <c r="E522" s="226" t="str">
        <f>IFERROR(PA_Out/NS*100,"B")</f>
        <v>B</v>
      </c>
      <c r="G522" s="4" t="s">
        <v>229</v>
      </c>
      <c r="H522" s="314" t="str">
        <f>IFERROR(PA_WHS/NS*100,"B")</f>
        <v>B</v>
      </c>
    </row>
    <row r="523" spans="1:8">
      <c r="A523" s="4" t="s">
        <v>722</v>
      </c>
      <c r="B523" s="226" t="str">
        <f>IFERROR(PA_WHS/NS*100,"B")</f>
        <v>B</v>
      </c>
      <c r="D523" s="4" t="s">
        <v>538</v>
      </c>
      <c r="E523" s="226" t="str">
        <f>IFERROR(PA_Inside/NS*100,"B")</f>
        <v>B</v>
      </c>
      <c r="G523" s="4" t="s">
        <v>231</v>
      </c>
      <c r="H523" s="314" t="str">
        <f>IFERROR(PA_Driver/NS*100,"B")</f>
        <v>B</v>
      </c>
    </row>
    <row r="524" spans="1:8">
      <c r="A524" s="4" t="s">
        <v>721</v>
      </c>
      <c r="B524" s="226" t="str">
        <f>IFERROR(PA_Driver/NS*100,"B")</f>
        <v>B</v>
      </c>
      <c r="D524" s="4" t="s">
        <v>539</v>
      </c>
      <c r="E524" s="226" t="str">
        <f>IFERROR(PA_Mdse/NS*100,"B")</f>
        <v>B</v>
      </c>
      <c r="G524" s="157" t="s">
        <v>230</v>
      </c>
      <c r="H524" s="314" t="str">
        <f>IFERROR(PA_Recv/NS*100,"B")</f>
        <v>B</v>
      </c>
    </row>
    <row r="525" spans="1:8">
      <c r="A525" s="4" t="s">
        <v>731</v>
      </c>
      <c r="B525" s="246" t="str">
        <f>IFERROR(PA_OTH/NS*100,"B")</f>
        <v>B</v>
      </c>
      <c r="D525" s="4" t="s">
        <v>540</v>
      </c>
      <c r="E525" s="246" t="str">
        <f>IFERROR(PA_Pur/NS*100,"B")</f>
        <v>B</v>
      </c>
      <c r="G525" s="157" t="s">
        <v>227</v>
      </c>
      <c r="H525" s="314" t="str">
        <f>IFERROR(PA_AR/NS*100,"B")</f>
        <v>B</v>
      </c>
    </row>
    <row r="526" spans="1:8">
      <c r="A526" s="458" t="s">
        <v>190</v>
      </c>
      <c r="B526" s="319" t="str">
        <f>IFERROR(SAL/NS*100,"B")</f>
        <v>B</v>
      </c>
      <c r="D526" s="424" t="s">
        <v>541</v>
      </c>
      <c r="E526" s="226" t="str">
        <f>IFERROR(Sal_Sls/NS*100,"B")</f>
        <v>B</v>
      </c>
      <c r="G526" s="157" t="s">
        <v>226</v>
      </c>
      <c r="H526" s="314" t="str">
        <f>IFERROR(PA_Pur/NS*100,"B")</f>
        <v>B</v>
      </c>
    </row>
    <row r="527" spans="1:8">
      <c r="A527" s="158" t="s">
        <v>247</v>
      </c>
      <c r="B527" s="314" t="str">
        <f>IFERROR(PT/NS*100,"B")</f>
        <v>B</v>
      </c>
      <c r="D527" s="158" t="s">
        <v>645</v>
      </c>
      <c r="E527" s="226" t="str">
        <f>IFERROR(PT_Sls/NS*100,"B")</f>
        <v>B</v>
      </c>
      <c r="G527" s="157" t="s">
        <v>228</v>
      </c>
      <c r="H527" s="314" t="str">
        <f>IFERROR(PA_IT/NS*100,"B")</f>
        <v>B</v>
      </c>
    </row>
    <row r="528" spans="1:8">
      <c r="A528" s="158" t="s">
        <v>733</v>
      </c>
      <c r="B528" s="314" t="str">
        <f>IFERROR(GRP_INS/NS*100,"B")</f>
        <v>B</v>
      </c>
      <c r="D528" s="158" t="s">
        <v>646</v>
      </c>
      <c r="E528" s="226" t="str">
        <f>IFERROR(GRP_INS_Sls/NS*100,"B")</f>
        <v>B</v>
      </c>
      <c r="G528" s="157" t="s">
        <v>427</v>
      </c>
      <c r="H528" s="314" t="str">
        <f>IFERROR(PA_CustSvc/NS*100,"B")</f>
        <v>B</v>
      </c>
    </row>
    <row r="529" spans="1:8">
      <c r="A529" s="4" t="s">
        <v>732</v>
      </c>
      <c r="B529" s="314" t="str">
        <f>IFERROR(BENE/NS*100,"B")</f>
        <v>B</v>
      </c>
      <c r="D529" s="4" t="s">
        <v>647</v>
      </c>
      <c r="E529" s="246" t="str">
        <f>IFERROR(BENE_Sls/NS*100,"B")</f>
        <v>B</v>
      </c>
      <c r="G529" s="4" t="s">
        <v>366</v>
      </c>
      <c r="H529" s="317" t="str">
        <f>IFERROR(PA_OTH/NS*100,"B")</f>
        <v>B</v>
      </c>
    </row>
    <row r="530" spans="1:8">
      <c r="A530" s="424" t="s">
        <v>162</v>
      </c>
      <c r="B530" s="319" t="str">
        <f>IFERROR(PA/NS*100,"B")</f>
        <v>B</v>
      </c>
      <c r="D530" s="424" t="s">
        <v>542</v>
      </c>
      <c r="E530" s="226" t="str">
        <f>IFERROR(PA_Sls/NS*100,"B")</f>
        <v>B</v>
      </c>
      <c r="G530" s="322" t="s">
        <v>367</v>
      </c>
      <c r="H530" s="319" t="str">
        <f>IFERROR(SAL/NS*100,"B")</f>
        <v>B</v>
      </c>
    </row>
    <row r="531" spans="1:8">
      <c r="A531" s="444" t="s">
        <v>166</v>
      </c>
      <c r="B531" s="314" t="str">
        <f>IFERROR(OC/NS*100,"B")</f>
        <v>B</v>
      </c>
      <c r="D531" s="4" t="s">
        <v>543</v>
      </c>
      <c r="E531" s="226" t="str">
        <f>IFERROR(TRVL/NS*100,"B")</f>
        <v>B</v>
      </c>
      <c r="G531" s="312" t="s">
        <v>247</v>
      </c>
      <c r="H531" s="314" t="str">
        <f>IFERROR(PT/NS*100,"B")</f>
        <v>B</v>
      </c>
    </row>
    <row r="532" spans="1:8">
      <c r="A532" s="442" t="s">
        <v>241</v>
      </c>
      <c r="B532" s="226" t="str">
        <f>IFERROR(VEH/NS*100,"B")</f>
        <v>B</v>
      </c>
      <c r="D532" s="4" t="s">
        <v>648</v>
      </c>
      <c r="E532" s="226" t="str">
        <f>IFERROR(VEH/NS*100,"B")</f>
        <v>B</v>
      </c>
      <c r="G532" s="312" t="s">
        <v>248</v>
      </c>
      <c r="H532" s="314" t="str">
        <f>IFERROR(GRP_INS/NS*100,"B")</f>
        <v>B</v>
      </c>
    </row>
    <row r="533" spans="1:8">
      <c r="A533" s="4" t="s">
        <v>734</v>
      </c>
      <c r="B533" s="226" t="str">
        <f>IFERROR(DPR/NS*100,"B")</f>
        <v>B</v>
      </c>
      <c r="D533" s="4" t="s">
        <v>544</v>
      </c>
      <c r="E533" s="226" t="str">
        <f>IFERROR(AD/NS*100,"B")</f>
        <v>B</v>
      </c>
      <c r="G533" s="312" t="s">
        <v>368</v>
      </c>
      <c r="H533" s="314" t="str">
        <f>IFERROR(BENE/NS*100,"B")</f>
        <v>B</v>
      </c>
    </row>
    <row r="534" spans="1:8">
      <c r="A534" s="4" t="s">
        <v>169</v>
      </c>
      <c r="B534" s="246" t="str">
        <f>IFERROR(OE/NS*100,"B")</f>
        <v>B</v>
      </c>
      <c r="D534" s="4" t="s">
        <v>1</v>
      </c>
      <c r="E534" s="226" t="str">
        <f>IFERROR(Tele/NS*100,"B")</f>
        <v>B</v>
      </c>
      <c r="G534" s="312" t="s">
        <v>428</v>
      </c>
      <c r="H534" s="226" t="str">
        <f>IFERROR(Bonus_Owner/NS*100,"B")</f>
        <v>B</v>
      </c>
    </row>
    <row r="535" spans="1:8">
      <c r="A535" s="424" t="s">
        <v>164</v>
      </c>
      <c r="B535" s="291" t="str">
        <f>IFERROR(TE/NS*100,"B")</f>
        <v>B</v>
      </c>
      <c r="D535" s="4" t="s">
        <v>545</v>
      </c>
      <c r="E535" s="246" t="str">
        <f>IFERROR(OSELL/NS*100,"B")</f>
        <v>B</v>
      </c>
      <c r="G535" s="312" t="s">
        <v>429</v>
      </c>
      <c r="H535" s="246" t="str">
        <f>IFERROR(Bonus_Emp/NS*100,"B")</f>
        <v>B</v>
      </c>
    </row>
    <row r="536" spans="1:8">
      <c r="A536" s="1" t="s">
        <v>48</v>
      </c>
      <c r="B536" s="291" t="str">
        <f>IFERROR(OP_2/NS*100,"B")</f>
        <v>B</v>
      </c>
      <c r="D536" s="424" t="s">
        <v>546</v>
      </c>
      <c r="E536" s="291" t="str">
        <f>IFERROR(SLS_EXP/NS*100,"B")</f>
        <v>B</v>
      </c>
      <c r="G536" s="322" t="s">
        <v>369</v>
      </c>
      <c r="H536" s="319" t="str">
        <f>IFERROR(PA/NS*100,"B")</f>
        <v>B</v>
      </c>
    </row>
    <row r="537" spans="1:8" ht="15" customHeight="1">
      <c r="A537" s="4" t="s">
        <v>44</v>
      </c>
      <c r="B537" s="226" t="str">
        <f>IFERROR(OI/NS*100,"B")</f>
        <v>B</v>
      </c>
      <c r="D537" s="4"/>
      <c r="E537" s="4"/>
      <c r="G537" s="322"/>
      <c r="H537" s="319"/>
    </row>
    <row r="538" spans="1:8">
      <c r="A538" s="4" t="s">
        <v>45</v>
      </c>
      <c r="B538" s="226" t="str">
        <f>IFERROR(Int/NS*100,"B")</f>
        <v>B</v>
      </c>
      <c r="D538" s="408" t="s">
        <v>547</v>
      </c>
      <c r="E538" s="4"/>
      <c r="G538" s="302" t="s">
        <v>166</v>
      </c>
      <c r="H538" s="4"/>
    </row>
    <row r="539" spans="1:8">
      <c r="A539" s="4" t="s">
        <v>684</v>
      </c>
      <c r="B539" s="226" t="str">
        <f>IFERROR(Oex/NS*100,"B")</f>
        <v>B</v>
      </c>
      <c r="D539" s="4" t="s">
        <v>548</v>
      </c>
      <c r="E539" s="226" t="str">
        <f>IFERROR(PA_WHS/NS*100,"B")</f>
        <v>B</v>
      </c>
      <c r="G539" s="312" t="s">
        <v>370</v>
      </c>
      <c r="H539" s="314" t="str">
        <f>IFERROR(UT/NS*100,"B")</f>
        <v>B</v>
      </c>
    </row>
    <row r="540" spans="1:8">
      <c r="A540" s="1" t="s">
        <v>411</v>
      </c>
      <c r="B540" s="244" t="str">
        <f>IFERROR(PBT_2/NS,"B")</f>
        <v>B</v>
      </c>
      <c r="D540" s="4" t="s">
        <v>549</v>
      </c>
      <c r="E540" s="226" t="str">
        <f>IFERROR(PA_Recv/NS*100,"B")</f>
        <v>B</v>
      </c>
      <c r="G540" s="312" t="s">
        <v>1</v>
      </c>
      <c r="H540" s="314" t="str">
        <f>IFERROR(Tele/NS*100,"B")</f>
        <v>B</v>
      </c>
    </row>
    <row r="541" spans="1:8">
      <c r="D541" s="4" t="s">
        <v>550</v>
      </c>
      <c r="E541" s="226" t="str">
        <f>IFERROR(PA_Pick/NS*100,"B")</f>
        <v>B</v>
      </c>
      <c r="G541" s="312" t="s">
        <v>167</v>
      </c>
      <c r="H541" s="314" t="str">
        <f>IFERROR(RM/NS*100,"B")</f>
        <v>B</v>
      </c>
    </row>
    <row r="542" spans="1:8">
      <c r="A542" s="313" t="s">
        <v>372</v>
      </c>
      <c r="B542" s="313"/>
      <c r="D542" s="4" t="s">
        <v>551</v>
      </c>
      <c r="E542" s="246" t="str">
        <f>IFERROR(PA_Driver/NS*100,"B")</f>
        <v>B</v>
      </c>
      <c r="G542" s="312" t="s">
        <v>371</v>
      </c>
      <c r="H542" s="317" t="str">
        <f>IFERROR(Rent/NS*100,"B")</f>
        <v>B</v>
      </c>
    </row>
    <row r="543" spans="1:8">
      <c r="A543" s="302" t="s">
        <v>163</v>
      </c>
      <c r="B543" s="318">
        <v>1</v>
      </c>
      <c r="D543" s="424" t="s">
        <v>567</v>
      </c>
      <c r="E543" s="226" t="str">
        <f>IFERROR(Sal_Dist/NS*100,"B")</f>
        <v>B</v>
      </c>
      <c r="G543" s="322" t="s">
        <v>168</v>
      </c>
      <c r="H543" s="319" t="str">
        <f>IFERROR(OC/NS*100,"B")</f>
        <v>B</v>
      </c>
    </row>
    <row r="544" spans="1:8">
      <c r="D544" s="158" t="s">
        <v>649</v>
      </c>
      <c r="E544" s="226" t="str">
        <f>IFERROR(PT_Dist/NS*100,"B")</f>
        <v>B</v>
      </c>
      <c r="G544" s="302" t="s">
        <v>169</v>
      </c>
      <c r="H544" s="314"/>
    </row>
    <row r="545" spans="1:8">
      <c r="A545" s="408" t="s">
        <v>160</v>
      </c>
      <c r="D545" s="158" t="s">
        <v>650</v>
      </c>
      <c r="E545" s="226" t="str">
        <f>IFERROR(GRP_INS_Dist/NS*100,"B")</f>
        <v>B</v>
      </c>
      <c r="G545" s="4" t="s">
        <v>242</v>
      </c>
      <c r="H545" s="226" t="str">
        <f>IFERROR(AD/NS*100,"B")</f>
        <v>B</v>
      </c>
    </row>
    <row r="546" spans="1:8">
      <c r="A546" s="157" t="s">
        <v>735</v>
      </c>
      <c r="B546" s="226" t="str">
        <f>IFERROR(PA_Exec/GP_2*100,"B")</f>
        <v>B</v>
      </c>
      <c r="D546" s="4" t="s">
        <v>651</v>
      </c>
      <c r="E546" s="246" t="str">
        <f>IFERROR(BENE_Dist/NS*100,"B")</f>
        <v>B</v>
      </c>
      <c r="G546" s="4" t="s">
        <v>238</v>
      </c>
      <c r="H546" s="226" t="str">
        <f>IFERROR(Collect/NS*100,"B")</f>
        <v>B</v>
      </c>
    </row>
    <row r="547" spans="1:8">
      <c r="A547" s="4" t="s">
        <v>720</v>
      </c>
      <c r="B547" s="226" t="str">
        <f>IFERROR(PA_Out/GP_2*100,"B")</f>
        <v>B</v>
      </c>
      <c r="D547" s="424" t="s">
        <v>553</v>
      </c>
      <c r="E547" s="226" t="str">
        <f>IFERROR(PA_Dist/NS*100,"B")</f>
        <v>B</v>
      </c>
      <c r="G547" s="4" t="s">
        <v>243</v>
      </c>
      <c r="H547" s="226" t="str">
        <f>IFERROR(BD/NS*100,"B")</f>
        <v>B</v>
      </c>
    </row>
    <row r="548" spans="1:8">
      <c r="A548" s="4" t="s">
        <v>722</v>
      </c>
      <c r="B548" s="226" t="str">
        <f>IFERROR(PA_WHS/GP_2*100,"B")</f>
        <v>B</v>
      </c>
      <c r="D548" s="4" t="s">
        <v>652</v>
      </c>
      <c r="E548" s="226" t="str">
        <f>IFERROR(Veh_Del/NS*100,"B")</f>
        <v>B</v>
      </c>
      <c r="G548" s="4" t="s">
        <v>241</v>
      </c>
      <c r="H548" s="226" t="str">
        <f>IFERROR(VEH/NS*100,"B")</f>
        <v>B</v>
      </c>
    </row>
    <row r="549" spans="1:8">
      <c r="A549" s="4" t="s">
        <v>721</v>
      </c>
      <c r="B549" s="226" t="str">
        <f>IFERROR(PA_Driver/GP_2*100,"B")</f>
        <v>B</v>
      </c>
      <c r="D549" s="158" t="s">
        <v>449</v>
      </c>
      <c r="E549" s="226" t="str">
        <f>IFERROR(UT/NS*100,"B")</f>
        <v>B</v>
      </c>
      <c r="G549" s="4" t="s">
        <v>240</v>
      </c>
      <c r="H549" s="226" t="str">
        <f>IFERROR(DPR/NS*100,"B")</f>
        <v>B</v>
      </c>
    </row>
    <row r="550" spans="1:8">
      <c r="A550" s="4" t="s">
        <v>731</v>
      </c>
      <c r="B550" s="246" t="str">
        <f>IFERROR(PA_OTH/GP_2*100,"B")</f>
        <v>B</v>
      </c>
      <c r="D550" s="158" t="s">
        <v>554</v>
      </c>
      <c r="E550" s="226" t="str">
        <f>IFERROR(RM/NS*100,"B")</f>
        <v>B</v>
      </c>
      <c r="G550" s="4" t="s">
        <v>244</v>
      </c>
      <c r="H550" s="226" t="str">
        <f>IFERROR(MIS/NS*100,"B")</f>
        <v>B</v>
      </c>
    </row>
    <row r="551" spans="1:8">
      <c r="A551" s="458" t="s">
        <v>190</v>
      </c>
      <c r="B551" s="226" t="str">
        <f>IFERROR(SAL/GP_2*100,"B")</f>
        <v>B</v>
      </c>
      <c r="D551" s="158" t="s">
        <v>653</v>
      </c>
      <c r="E551" s="226" t="str">
        <f>IFERROR(Rent/NS*100,"B")</f>
        <v>B</v>
      </c>
      <c r="G551" s="4" t="s">
        <v>245</v>
      </c>
      <c r="H551" s="226" t="str">
        <f>IFERROR(TRN/NS*100,"B")</f>
        <v>B</v>
      </c>
    </row>
    <row r="552" spans="1:8">
      <c r="A552" s="158" t="s">
        <v>247</v>
      </c>
      <c r="B552" s="226" t="str">
        <f>IFERROR(PT/GP_2*100,"B")</f>
        <v>B</v>
      </c>
      <c r="D552" s="4" t="s">
        <v>555</v>
      </c>
      <c r="E552" s="226" t="str">
        <f>IFERROR(FO/NS*100,"B")</f>
        <v>B</v>
      </c>
      <c r="G552" s="4" t="s">
        <v>239</v>
      </c>
      <c r="H552" s="226" t="str">
        <f>IFERROR(Ins/NS*100,"B")</f>
        <v>B</v>
      </c>
    </row>
    <row r="553" spans="1:8">
      <c r="A553" s="158" t="s">
        <v>733</v>
      </c>
      <c r="B553" s="226" t="str">
        <f>IFERROR(GRP_INS/GP_2*100,"B")</f>
        <v>B</v>
      </c>
      <c r="D553" s="4" t="s">
        <v>240</v>
      </c>
      <c r="E553" s="226" t="str">
        <f>IFERROR(DPR/NS*100,"B")</f>
        <v>B</v>
      </c>
      <c r="G553" s="4" t="s">
        <v>237</v>
      </c>
      <c r="H553" s="226" t="str">
        <f>IFERROR(PPTaxes/NS*100,"B")</f>
        <v>B</v>
      </c>
    </row>
    <row r="554" spans="1:8">
      <c r="A554" s="4" t="s">
        <v>732</v>
      </c>
      <c r="B554" s="226" t="str">
        <f>IFERROR(BENE/GP_2*100,"B")</f>
        <v>B</v>
      </c>
      <c r="D554" s="4" t="s">
        <v>556</v>
      </c>
      <c r="E554" s="246" t="str">
        <f>IFERROR(ODIST/NS*100,"B")</f>
        <v>B</v>
      </c>
      <c r="G554" s="312" t="s">
        <v>60</v>
      </c>
      <c r="H554" s="246" t="str">
        <f>IFERROR(OE/NS*100,"B")</f>
        <v>B</v>
      </c>
    </row>
    <row r="555" spans="1:8">
      <c r="A555" s="424" t="s">
        <v>162</v>
      </c>
      <c r="B555" s="435" t="str">
        <f>IFERROR(PA/GP_2*100,"B")</f>
        <v>B</v>
      </c>
      <c r="D555" s="424" t="s">
        <v>557</v>
      </c>
      <c r="E555" s="291" t="str">
        <f>IFERROR(DIST_EXP/NS*100,"B")</f>
        <v>B</v>
      </c>
      <c r="G555" s="322" t="s">
        <v>165</v>
      </c>
      <c r="H555" s="291" t="str">
        <f>IFERROR(TOE/NS*100,"B")</f>
        <v>B</v>
      </c>
    </row>
    <row r="556" spans="1:8">
      <c r="A556" s="444" t="s">
        <v>166</v>
      </c>
      <c r="B556" s="226" t="str">
        <f>IFERROR(OC/GP_2*100,"B")</f>
        <v>B</v>
      </c>
      <c r="D556" s="424"/>
      <c r="E556" s="291"/>
      <c r="G556" s="322"/>
      <c r="H556" s="291"/>
    </row>
    <row r="557" spans="1:8">
      <c r="A557" s="442" t="s">
        <v>241</v>
      </c>
      <c r="B557" s="226" t="str">
        <f>IFERROR(VEH/GP_2*100,"B")</f>
        <v>B</v>
      </c>
      <c r="D557" s="70" t="s">
        <v>558</v>
      </c>
      <c r="E557" s="291"/>
      <c r="G557" s="322"/>
      <c r="H557" s="291"/>
    </row>
    <row r="558" spans="1:8">
      <c r="A558" s="4" t="s">
        <v>734</v>
      </c>
      <c r="B558" s="226" t="str">
        <f>IFERROR(DPR/GP_2*100,"B")</f>
        <v>B</v>
      </c>
      <c r="D558" s="4" t="s">
        <v>559</v>
      </c>
      <c r="E558" s="226" t="str">
        <f>IFERROR(PA_AR/NS*100,"B")</f>
        <v>B</v>
      </c>
      <c r="G558" s="315" t="s">
        <v>164</v>
      </c>
      <c r="H558" s="291" t="str">
        <f>IFERROR(TE/NS*100,"B")</f>
        <v>B</v>
      </c>
    </row>
    <row r="559" spans="1:8">
      <c r="A559" s="4" t="s">
        <v>169</v>
      </c>
      <c r="B559" s="246" t="str">
        <f>IFERROR(OE/GP_2*100,"B")</f>
        <v>B</v>
      </c>
      <c r="D559" s="4" t="s">
        <v>560</v>
      </c>
      <c r="E559" s="226" t="str">
        <f>IFERROR(PA_AP/NS*100,"B")</f>
        <v>B</v>
      </c>
      <c r="G559" s="302" t="s">
        <v>48</v>
      </c>
      <c r="H559" s="291" t="str">
        <f>IFERROR(OP_2/NS*100,"B")</f>
        <v>B</v>
      </c>
    </row>
    <row r="560" spans="1:8">
      <c r="A560" s="424" t="s">
        <v>164</v>
      </c>
      <c r="B560" s="291" t="str">
        <f>IFERROR(TE/GP_2*100,"B")</f>
        <v>B</v>
      </c>
      <c r="D560" s="4" t="s">
        <v>561</v>
      </c>
      <c r="E560" s="226" t="str">
        <f>IFERROR(PA_IT/NS*100,"B")</f>
        <v>B</v>
      </c>
      <c r="G560" s="312" t="s">
        <v>44</v>
      </c>
      <c r="H560" s="226" t="str">
        <f>IFERROR(OI/NS*100,"B")</f>
        <v>B</v>
      </c>
    </row>
    <row r="561" spans="1:8">
      <c r="A561" s="1" t="s">
        <v>48</v>
      </c>
      <c r="B561" s="291" t="str">
        <f>IFERROR(OP_2/GP_2*100,"B")</f>
        <v>B</v>
      </c>
      <c r="D561" s="4" t="s">
        <v>562</v>
      </c>
      <c r="E561" s="226" t="str">
        <f>IFERROR(PA_CustSvc/NS*100,"B")</f>
        <v>B</v>
      </c>
      <c r="G561" s="312" t="s">
        <v>45</v>
      </c>
      <c r="H561" s="226" t="str">
        <f>IFERROR(Int/NS*100,"B")</f>
        <v>B</v>
      </c>
    </row>
    <row r="562" spans="1:8">
      <c r="A562" s="4" t="s">
        <v>44</v>
      </c>
      <c r="B562" s="226" t="str">
        <f>IFERROR(OI/GP_2*100,"B")</f>
        <v>B</v>
      </c>
      <c r="D562" s="4" t="s">
        <v>563</v>
      </c>
      <c r="E562" s="226" t="str">
        <f>IFERROR(PA_Tele/NS*100,"B")</f>
        <v>B</v>
      </c>
      <c r="G562" s="312" t="s">
        <v>250</v>
      </c>
      <c r="H562" s="246" t="str">
        <f>IFERROR(Oex/NS*100,"B")</f>
        <v>B</v>
      </c>
    </row>
    <row r="563" spans="1:8">
      <c r="A563" s="4" t="s">
        <v>45</v>
      </c>
      <c r="B563" s="226" t="str">
        <f>IFERROR(Int/GP_2*100,"B")</f>
        <v>B</v>
      </c>
      <c r="D563" s="157" t="s">
        <v>564</v>
      </c>
      <c r="E563" s="226" t="str">
        <f>IFERROR(PA_Exec/NS*100,"B")</f>
        <v>B</v>
      </c>
      <c r="G563" s="302" t="s">
        <v>251</v>
      </c>
      <c r="H563" s="244" t="str">
        <f>IFERROR(PBT_2/NS,"B")</f>
        <v>B</v>
      </c>
    </row>
    <row r="564" spans="1:8">
      <c r="A564" s="4" t="s">
        <v>684</v>
      </c>
      <c r="B564" s="226" t="str">
        <f>IFERROR(Oex/GP_2*100,"B")</f>
        <v>B</v>
      </c>
      <c r="D564" s="4" t="s">
        <v>565</v>
      </c>
      <c r="E564" s="246" t="str">
        <f>IFERROR(PA_OTH/NS*100,"B")</f>
        <v>B</v>
      </c>
    </row>
    <row r="565" spans="1:8">
      <c r="A565" s="1" t="s">
        <v>411</v>
      </c>
      <c r="B565" s="244" t="str">
        <f>IFERROR(PBT_2/GP_2,"B")</f>
        <v>B</v>
      </c>
      <c r="D565" s="424" t="s">
        <v>568</v>
      </c>
      <c r="E565" s="226" t="str">
        <f>IFERROR(SAL_Admin/NS*100,"B")</f>
        <v>B</v>
      </c>
    </row>
    <row r="566" spans="1:8">
      <c r="A566" s="407"/>
      <c r="B566" s="407"/>
      <c r="D566" s="158" t="s">
        <v>569</v>
      </c>
      <c r="E566" s="226" t="str">
        <f>IFERROR(PT_Admin/NS*100,"B")</f>
        <v>B</v>
      </c>
    </row>
    <row r="567" spans="1:8">
      <c r="A567" s="407"/>
      <c r="B567" s="407"/>
      <c r="D567" s="158" t="s">
        <v>570</v>
      </c>
      <c r="E567" s="226" t="str">
        <f>IFERROR(GRP_INS_Admin/NS*100,"B")</f>
        <v>B</v>
      </c>
    </row>
    <row r="568" spans="1:8">
      <c r="A568" s="407"/>
      <c r="B568" s="407"/>
      <c r="D568" s="4" t="s">
        <v>571</v>
      </c>
      <c r="E568" s="246" t="str">
        <f>IFERROR(BENE_Admin/NS*100,"B")</f>
        <v>B</v>
      </c>
    </row>
    <row r="569" spans="1:8">
      <c r="A569" s="407"/>
      <c r="B569" s="407"/>
      <c r="D569" s="424" t="s">
        <v>566</v>
      </c>
      <c r="E569" s="226" t="str">
        <f>IFERROR(PA_Admin/NS*100,"B")</f>
        <v>B</v>
      </c>
    </row>
    <row r="570" spans="1:8">
      <c r="A570" s="407"/>
      <c r="B570" s="407"/>
      <c r="D570" s="4" t="s">
        <v>572</v>
      </c>
      <c r="E570" s="226" t="str">
        <f>IFERROR(ProfFees/NS*100,"B")</f>
        <v>B</v>
      </c>
    </row>
    <row r="571" spans="1:8">
      <c r="A571" s="407"/>
      <c r="B571" s="407"/>
      <c r="D571" s="4" t="s">
        <v>573</v>
      </c>
      <c r="E571" s="226" t="str">
        <f>IFERROR(MIS/NS*100,"B")</f>
        <v>B</v>
      </c>
    </row>
    <row r="572" spans="1:8">
      <c r="A572" s="407"/>
      <c r="B572" s="407"/>
      <c r="D572" s="4" t="s">
        <v>450</v>
      </c>
      <c r="E572" s="226" t="str">
        <f>IFERROR(Ins/NS*100,"B")</f>
        <v>B</v>
      </c>
    </row>
    <row r="573" spans="1:8">
      <c r="A573" s="407"/>
      <c r="B573" s="407"/>
      <c r="D573" s="4" t="s">
        <v>243</v>
      </c>
      <c r="E573" s="226" t="str">
        <f>IFERROR(BD/NS*100,"B")</f>
        <v>B</v>
      </c>
    </row>
    <row r="574" spans="1:8">
      <c r="A574" s="407"/>
      <c r="B574" s="407"/>
      <c r="D574" s="4" t="s">
        <v>574</v>
      </c>
      <c r="E574" s="246" t="str">
        <f>IFERROR(OE/NS*100,"B")</f>
        <v>B</v>
      </c>
    </row>
    <row r="575" spans="1:8">
      <c r="A575" s="407"/>
      <c r="B575" s="407"/>
      <c r="D575" s="424" t="s">
        <v>575</v>
      </c>
      <c r="E575" s="291" t="str">
        <f>IFERROR(Admin_Exp/NS*100,"B")</f>
        <v>B</v>
      </c>
    </row>
    <row r="576" spans="1:8">
      <c r="A576" s="407"/>
      <c r="B576" s="407"/>
      <c r="D576" s="424"/>
      <c r="E576" s="291"/>
    </row>
    <row r="577" spans="1:5">
      <c r="A577" s="407"/>
      <c r="B577" s="407"/>
      <c r="D577" s="1" t="s">
        <v>164</v>
      </c>
      <c r="E577" s="291" t="str">
        <f>IFERROR(TE/NS*100,"B")</f>
        <v>B</v>
      </c>
    </row>
    <row r="578" spans="1:5">
      <c r="A578" s="407"/>
      <c r="B578" s="407"/>
      <c r="D578" s="1" t="s">
        <v>48</v>
      </c>
      <c r="E578" s="291" t="str">
        <f>IFERROR(OP_2/NS*100,"B")</f>
        <v>B</v>
      </c>
    </row>
    <row r="579" spans="1:5">
      <c r="A579" s="407"/>
      <c r="B579" s="407"/>
      <c r="D579" s="4" t="s">
        <v>44</v>
      </c>
      <c r="E579" s="226" t="str">
        <f>IFERROR(OI/NS*100,"B")</f>
        <v>B</v>
      </c>
    </row>
    <row r="580" spans="1:5">
      <c r="A580" s="407"/>
      <c r="B580" s="407"/>
      <c r="D580" s="4" t="s">
        <v>45</v>
      </c>
      <c r="E580" s="226" t="str">
        <f>IFERROR(Int/NS*100,"B")</f>
        <v>B</v>
      </c>
    </row>
    <row r="581" spans="1:5">
      <c r="A581" s="407"/>
      <c r="B581" s="407"/>
      <c r="D581" s="4" t="s">
        <v>684</v>
      </c>
      <c r="E581" s="226" t="str">
        <f>IFERROR(Oex/NS*100,"B")</f>
        <v>B</v>
      </c>
    </row>
    <row r="582" spans="1:5">
      <c r="A582" s="407"/>
      <c r="B582" s="407"/>
      <c r="D582" s="1" t="s">
        <v>411</v>
      </c>
      <c r="E582" s="244" t="str">
        <f>IFERROR(PBT_2/NS,"B")</f>
        <v>B</v>
      </c>
    </row>
    <row r="583" spans="1:5">
      <c r="A583" s="407"/>
      <c r="B583" s="407"/>
      <c r="D583" s="4"/>
      <c r="E583" s="4"/>
    </row>
    <row r="584" spans="1:5">
      <c r="A584" s="407"/>
      <c r="B584" s="407"/>
      <c r="D584" s="313" t="s">
        <v>372</v>
      </c>
      <c r="E584" s="313"/>
    </row>
    <row r="585" spans="1:5">
      <c r="A585" s="407"/>
      <c r="B585" s="407"/>
      <c r="D585" s="302" t="s">
        <v>163</v>
      </c>
      <c r="E585" s="318">
        <v>1</v>
      </c>
    </row>
    <row r="586" spans="1:5">
      <c r="A586" s="407"/>
      <c r="B586" s="407"/>
      <c r="D586" s="302"/>
      <c r="E586" s="4"/>
    </row>
    <row r="587" spans="1:5">
      <c r="A587" s="407"/>
      <c r="B587" s="407"/>
      <c r="D587" s="408" t="s">
        <v>535</v>
      </c>
      <c r="E587" s="4"/>
    </row>
    <row r="588" spans="1:5">
      <c r="A588" s="407"/>
      <c r="B588" s="407"/>
      <c r="D588" s="4" t="s">
        <v>536</v>
      </c>
      <c r="E588" s="226" t="str">
        <f>IFERROR(PA_SlsMgr/GP_2*100,"B")</f>
        <v>B</v>
      </c>
    </row>
    <row r="589" spans="1:5">
      <c r="A589" s="407"/>
      <c r="B589" s="407"/>
      <c r="D589" s="4" t="s">
        <v>537</v>
      </c>
      <c r="E589" s="226" t="str">
        <f>IFERROR(PA_Out/GP_2*100,"B")</f>
        <v>B</v>
      </c>
    </row>
    <row r="590" spans="1:5">
      <c r="A590" s="407"/>
      <c r="B590" s="407"/>
      <c r="D590" s="4" t="s">
        <v>538</v>
      </c>
      <c r="E590" s="226" t="str">
        <f>IFERROR(PA_Inside/GP_2*100,"B")</f>
        <v>B</v>
      </c>
    </row>
    <row r="591" spans="1:5">
      <c r="A591" s="407"/>
      <c r="B591" s="407"/>
      <c r="D591" s="4" t="s">
        <v>539</v>
      </c>
      <c r="E591" s="226" t="str">
        <f>IFERROR(PA_Mdse/GP_2*100,"B")</f>
        <v>B</v>
      </c>
    </row>
    <row r="592" spans="1:5">
      <c r="A592" s="407"/>
      <c r="B592" s="407"/>
      <c r="D592" s="4" t="s">
        <v>540</v>
      </c>
      <c r="E592" s="246" t="str">
        <f>IFERROR(PA_Pur/GP_2*100,"B")</f>
        <v>B</v>
      </c>
    </row>
    <row r="593" spans="1:5">
      <c r="A593" s="407"/>
      <c r="B593" s="407"/>
      <c r="D593" s="424" t="s">
        <v>541</v>
      </c>
      <c r="E593" s="226" t="str">
        <f>IFERROR(Sal_Sls/GP_2*100,"B")</f>
        <v>B</v>
      </c>
    </row>
    <row r="594" spans="1:5">
      <c r="A594" s="407"/>
      <c r="B594" s="407"/>
      <c r="D594" s="158" t="s">
        <v>645</v>
      </c>
      <c r="E594" s="226" t="str">
        <f>IFERROR(PT_Sls/GP_2*100,"B")</f>
        <v>B</v>
      </c>
    </row>
    <row r="595" spans="1:5">
      <c r="A595" s="407"/>
      <c r="B595" s="407"/>
      <c r="D595" s="158" t="s">
        <v>646</v>
      </c>
      <c r="E595" s="226" t="str">
        <f>IFERROR(GRP_INS_Sls/GP_2*100,"B")</f>
        <v>B</v>
      </c>
    </row>
    <row r="596" spans="1:5">
      <c r="A596" s="407"/>
      <c r="B596" s="407"/>
      <c r="D596" s="4" t="s">
        <v>647</v>
      </c>
      <c r="E596" s="246" t="str">
        <f>IFERROR(BENE_Sls/GP_2*100,"B")</f>
        <v>B</v>
      </c>
    </row>
    <row r="597" spans="1:5">
      <c r="A597" s="407"/>
      <c r="B597" s="407"/>
      <c r="D597" s="424" t="s">
        <v>542</v>
      </c>
      <c r="E597" s="226" t="str">
        <f>IFERROR(PA_Sls/GP_2*100,"B")</f>
        <v>B</v>
      </c>
    </row>
    <row r="598" spans="1:5">
      <c r="A598" s="407"/>
      <c r="B598" s="407"/>
      <c r="D598" s="4" t="s">
        <v>543</v>
      </c>
      <c r="E598" s="226" t="str">
        <f>IFERROR(TRVL/GP_2*100,"B")</f>
        <v>B</v>
      </c>
    </row>
    <row r="599" spans="1:5">
      <c r="A599" s="407"/>
      <c r="B599" s="407"/>
      <c r="D599" s="4" t="s">
        <v>648</v>
      </c>
      <c r="E599" s="226" t="str">
        <f>IFERROR(VEH/GP_2*100,"B")</f>
        <v>B</v>
      </c>
    </row>
    <row r="600" spans="1:5">
      <c r="A600" s="407"/>
      <c r="B600" s="407"/>
      <c r="D600" s="4" t="s">
        <v>544</v>
      </c>
      <c r="E600" s="226" t="str">
        <f>IFERROR(AD/GP_2*100,"B")</f>
        <v>B</v>
      </c>
    </row>
    <row r="601" spans="1:5">
      <c r="A601" s="407"/>
      <c r="B601" s="407"/>
      <c r="D601" s="4" t="s">
        <v>1</v>
      </c>
      <c r="E601" s="226" t="str">
        <f>IFERROR(Tele/GP_2*100,"B")</f>
        <v>B</v>
      </c>
    </row>
    <row r="602" spans="1:5">
      <c r="A602" s="407"/>
      <c r="B602" s="407"/>
      <c r="D602" s="4" t="s">
        <v>545</v>
      </c>
      <c r="E602" s="246" t="str">
        <f>IFERROR(OSELL/GP_2*100,"B")</f>
        <v>B</v>
      </c>
    </row>
    <row r="603" spans="1:5">
      <c r="A603" s="407"/>
      <c r="B603" s="407"/>
      <c r="D603" s="424" t="s">
        <v>546</v>
      </c>
      <c r="E603" s="291" t="str">
        <f>IFERROR(SLS_EXP/GP_2*100,"B")</f>
        <v>B</v>
      </c>
    </row>
    <row r="604" spans="1:5">
      <c r="A604" s="407"/>
      <c r="B604" s="407"/>
      <c r="D604" s="4"/>
      <c r="E604" s="4"/>
    </row>
    <row r="605" spans="1:5">
      <c r="A605" s="407"/>
      <c r="B605" s="407"/>
      <c r="D605" s="408" t="s">
        <v>547</v>
      </c>
      <c r="E605" s="4"/>
    </row>
    <row r="606" spans="1:5">
      <c r="A606" s="407"/>
      <c r="B606" s="407"/>
      <c r="D606" s="4" t="s">
        <v>548</v>
      </c>
      <c r="E606" s="226" t="str">
        <f>IFERROR(PA_WHS/GP_2*100,"B")</f>
        <v>B</v>
      </c>
    </row>
    <row r="607" spans="1:5">
      <c r="A607" s="407"/>
      <c r="B607" s="407"/>
      <c r="D607" s="4" t="s">
        <v>549</v>
      </c>
      <c r="E607" s="226" t="str">
        <f>IFERROR(PA_Recv/GP_2*100,"B")</f>
        <v>B</v>
      </c>
    </row>
    <row r="608" spans="1:5">
      <c r="A608" s="407"/>
      <c r="B608" s="407"/>
      <c r="D608" s="4" t="s">
        <v>550</v>
      </c>
      <c r="E608" s="226" t="str">
        <f>IFERROR(PA_Pick/GP_2*100,"B")</f>
        <v>B</v>
      </c>
    </row>
    <row r="609" spans="1:5">
      <c r="A609" s="407"/>
      <c r="B609" s="407"/>
      <c r="D609" s="4" t="s">
        <v>551</v>
      </c>
      <c r="E609" s="246" t="str">
        <f>IFERROR(PA_Driver/GP_2*100,"B")</f>
        <v>B</v>
      </c>
    </row>
    <row r="610" spans="1:5">
      <c r="A610" s="407"/>
      <c r="B610" s="407"/>
      <c r="D610" s="424" t="s">
        <v>567</v>
      </c>
      <c r="E610" s="226" t="str">
        <f>IFERROR(Sal_Dist/GP_2*100,"B")</f>
        <v>B</v>
      </c>
    </row>
    <row r="611" spans="1:5">
      <c r="A611" s="407"/>
      <c r="B611" s="407"/>
      <c r="D611" s="158" t="s">
        <v>649</v>
      </c>
      <c r="E611" s="226" t="str">
        <f>IFERROR(PT_Dist/GP_2*100,"B")</f>
        <v>B</v>
      </c>
    </row>
    <row r="612" spans="1:5">
      <c r="A612" s="407"/>
      <c r="B612" s="407"/>
      <c r="D612" s="158" t="s">
        <v>650</v>
      </c>
      <c r="E612" s="226" t="str">
        <f>IFERROR(GRP_INS_Dist/GP_2*100,"B")</f>
        <v>B</v>
      </c>
    </row>
    <row r="613" spans="1:5">
      <c r="A613" s="407"/>
      <c r="B613" s="407"/>
      <c r="D613" s="4" t="s">
        <v>651</v>
      </c>
      <c r="E613" s="246" t="str">
        <f>IFERROR(BENE_Dist/GP_2*100,"B")</f>
        <v>B</v>
      </c>
    </row>
    <row r="614" spans="1:5">
      <c r="A614" s="407"/>
      <c r="B614" s="407"/>
      <c r="D614" s="424" t="s">
        <v>553</v>
      </c>
      <c r="E614" s="226" t="str">
        <f>IFERROR(PA_Dist/GP_2*100,"B")</f>
        <v>B</v>
      </c>
    </row>
    <row r="615" spans="1:5">
      <c r="A615" s="407"/>
      <c r="B615" s="407"/>
      <c r="D615" s="4" t="s">
        <v>652</v>
      </c>
      <c r="E615" s="226" t="str">
        <f>IFERROR(Veh_Del/GP_2*100,"B")</f>
        <v>B</v>
      </c>
    </row>
    <row r="616" spans="1:5">
      <c r="A616" s="407"/>
      <c r="B616" s="407"/>
      <c r="D616" s="158" t="s">
        <v>449</v>
      </c>
      <c r="E616" s="226" t="str">
        <f>IFERROR(UT/GP_2*100,"B")</f>
        <v>B</v>
      </c>
    </row>
    <row r="617" spans="1:5">
      <c r="A617" s="407"/>
      <c r="B617" s="407"/>
      <c r="D617" s="158" t="s">
        <v>554</v>
      </c>
      <c r="E617" s="226" t="str">
        <f>IFERROR(RM/GP_2*100,"B")</f>
        <v>B</v>
      </c>
    </row>
    <row r="618" spans="1:5">
      <c r="A618" s="407"/>
      <c r="B618" s="407"/>
      <c r="D618" s="158" t="s">
        <v>653</v>
      </c>
      <c r="E618" s="226" t="str">
        <f>IFERROR(Rent/GP_2*100,"B")</f>
        <v>B</v>
      </c>
    </row>
    <row r="619" spans="1:5">
      <c r="A619" s="407"/>
      <c r="B619" s="407"/>
      <c r="D619" s="4" t="s">
        <v>555</v>
      </c>
      <c r="E619" s="226" t="str">
        <f>IFERROR(FO/GP_2*100,"B")</f>
        <v>B</v>
      </c>
    </row>
    <row r="620" spans="1:5">
      <c r="A620" s="407"/>
      <c r="B620" s="407"/>
      <c r="D620" s="4" t="s">
        <v>240</v>
      </c>
      <c r="E620" s="226" t="str">
        <f>IFERROR(DPR/GP_2*100,"B")</f>
        <v>B</v>
      </c>
    </row>
    <row r="621" spans="1:5">
      <c r="A621" s="407"/>
      <c r="B621" s="407"/>
      <c r="D621" s="4" t="s">
        <v>556</v>
      </c>
      <c r="E621" s="246" t="str">
        <f>IFERROR(ODIST/GP_2*100,"B")</f>
        <v>B</v>
      </c>
    </row>
    <row r="622" spans="1:5">
      <c r="A622" s="407"/>
      <c r="B622" s="407"/>
      <c r="D622" s="424" t="s">
        <v>557</v>
      </c>
      <c r="E622" s="291" t="str">
        <f>IFERROR(DIST_EXP/GP_2*100,"B")</f>
        <v>B</v>
      </c>
    </row>
    <row r="623" spans="1:5">
      <c r="A623" s="407"/>
      <c r="B623" s="407"/>
      <c r="D623" s="424"/>
      <c r="E623" s="4"/>
    </row>
    <row r="624" spans="1:5">
      <c r="A624" s="407"/>
      <c r="B624" s="407"/>
      <c r="D624" s="70" t="s">
        <v>558</v>
      </c>
      <c r="E624" s="4"/>
    </row>
    <row r="625" spans="1:5">
      <c r="A625" s="407"/>
      <c r="B625" s="407"/>
      <c r="D625" s="4" t="s">
        <v>559</v>
      </c>
      <c r="E625" s="226" t="str">
        <f>IFERROR(PA_AR/GP_2*100,"B")</f>
        <v>B</v>
      </c>
    </row>
    <row r="626" spans="1:5">
      <c r="A626" s="407"/>
      <c r="B626" s="407"/>
      <c r="D626" s="4" t="s">
        <v>560</v>
      </c>
      <c r="E626" s="226" t="str">
        <f>IFERROR(PA_AP/GP_2*100,"B")</f>
        <v>B</v>
      </c>
    </row>
    <row r="627" spans="1:5">
      <c r="A627" s="407"/>
      <c r="B627" s="407"/>
      <c r="D627" s="4" t="s">
        <v>561</v>
      </c>
      <c r="E627" s="226" t="str">
        <f>IFERROR(PA_IT/GP_2*100,"B")</f>
        <v>B</v>
      </c>
    </row>
    <row r="628" spans="1:5">
      <c r="A628" s="407"/>
      <c r="B628" s="407"/>
      <c r="D628" s="4" t="s">
        <v>562</v>
      </c>
      <c r="E628" s="226" t="str">
        <f>IFERROR(PA_CustSvc/GP_2*100,"B")</f>
        <v>B</v>
      </c>
    </row>
    <row r="629" spans="1:5">
      <c r="A629" s="407"/>
      <c r="B629" s="407"/>
      <c r="D629" s="4" t="s">
        <v>563</v>
      </c>
      <c r="E629" s="226" t="str">
        <f>IFERROR(PA_Tele/GP_2*100,"B")</f>
        <v>B</v>
      </c>
    </row>
    <row r="630" spans="1:5">
      <c r="A630" s="407"/>
      <c r="B630" s="407"/>
      <c r="D630" s="157" t="s">
        <v>564</v>
      </c>
      <c r="E630" s="226" t="str">
        <f>IFERROR(PA_Exec/GP_2*100,"B")</f>
        <v>B</v>
      </c>
    </row>
    <row r="631" spans="1:5">
      <c r="A631" s="407"/>
      <c r="B631" s="407"/>
      <c r="D631" s="4" t="s">
        <v>565</v>
      </c>
      <c r="E631" s="246" t="str">
        <f>IFERROR(PA_OTH/GP_2*100,"B")</f>
        <v>B</v>
      </c>
    </row>
    <row r="632" spans="1:5">
      <c r="A632" s="407"/>
      <c r="B632" s="407"/>
      <c r="D632" s="424" t="s">
        <v>568</v>
      </c>
      <c r="E632" s="226" t="str">
        <f>IFERROR(SAL_Admin/GP_2*100,"B")</f>
        <v>B</v>
      </c>
    </row>
    <row r="633" spans="1:5">
      <c r="A633" s="407"/>
      <c r="B633" s="407"/>
      <c r="D633" s="158" t="s">
        <v>569</v>
      </c>
      <c r="E633" s="226" t="str">
        <f>IFERROR(PT_Admin/GP_2*100,"B")</f>
        <v>B</v>
      </c>
    </row>
    <row r="634" spans="1:5">
      <c r="A634" s="407"/>
      <c r="B634" s="407"/>
      <c r="D634" s="158" t="s">
        <v>570</v>
      </c>
      <c r="E634" s="226" t="str">
        <f>IFERROR(GRP_INS_Admin/GP_2*100,"B")</f>
        <v>B</v>
      </c>
    </row>
    <row r="635" spans="1:5">
      <c r="A635" s="407"/>
      <c r="B635" s="407"/>
      <c r="D635" s="4" t="s">
        <v>571</v>
      </c>
      <c r="E635" s="246" t="str">
        <f>IFERROR(BENE_Admin/GP_2*100,"B")</f>
        <v>B</v>
      </c>
    </row>
    <row r="636" spans="1:5">
      <c r="A636" s="407"/>
      <c r="B636" s="407"/>
      <c r="D636" s="424" t="s">
        <v>566</v>
      </c>
      <c r="E636" s="226" t="str">
        <f>IFERROR(PA_Admin/GP_2*100,"B")</f>
        <v>B</v>
      </c>
    </row>
    <row r="637" spans="1:5">
      <c r="A637" s="407"/>
      <c r="B637" s="407"/>
      <c r="D637" s="4" t="s">
        <v>572</v>
      </c>
      <c r="E637" s="226" t="str">
        <f>IFERROR(ProfFees/GP_2*100,"B")</f>
        <v>B</v>
      </c>
    </row>
    <row r="638" spans="1:5">
      <c r="A638" s="407"/>
      <c r="B638" s="407"/>
      <c r="D638" s="4" t="s">
        <v>573</v>
      </c>
      <c r="E638" s="226" t="str">
        <f>IFERROR(MIS/GP_2*100,"B")</f>
        <v>B</v>
      </c>
    </row>
    <row r="639" spans="1:5">
      <c r="A639" s="407"/>
      <c r="B639" s="407"/>
      <c r="D639" s="4" t="s">
        <v>450</v>
      </c>
      <c r="E639" s="226" t="str">
        <f>IFERROR(Ins/GP_2*100,"B")</f>
        <v>B</v>
      </c>
    </row>
    <row r="640" spans="1:5">
      <c r="A640" s="407"/>
      <c r="B640" s="407"/>
      <c r="D640" s="4" t="s">
        <v>243</v>
      </c>
      <c r="E640" s="226" t="str">
        <f>IFERROR(BD/GP_2*100,"B")</f>
        <v>B</v>
      </c>
    </row>
    <row r="641" spans="1:5">
      <c r="A641" s="407"/>
      <c r="B641" s="407"/>
      <c r="D641" s="4" t="s">
        <v>574</v>
      </c>
      <c r="E641" s="226" t="str">
        <f>IFERROR(OE/GP_2*100,"B")</f>
        <v>B</v>
      </c>
    </row>
    <row r="642" spans="1:5">
      <c r="A642" s="407"/>
      <c r="B642" s="407"/>
      <c r="D642" s="424" t="s">
        <v>575</v>
      </c>
      <c r="E642" s="291" t="str">
        <f>IFERROR(Admin_Exp/GP_2*100,"B")</f>
        <v>B</v>
      </c>
    </row>
    <row r="643" spans="1:5">
      <c r="A643" s="407"/>
      <c r="B643" s="407"/>
      <c r="D643" s="424"/>
      <c r="E643" s="4"/>
    </row>
    <row r="644" spans="1:5">
      <c r="A644" s="407"/>
      <c r="B644" s="407"/>
      <c r="D644" s="1" t="s">
        <v>164</v>
      </c>
      <c r="E644" s="291" t="str">
        <f>IFERROR(TE/GP_2*100,"B")</f>
        <v>B</v>
      </c>
    </row>
    <row r="645" spans="1:5">
      <c r="A645" s="407"/>
      <c r="B645" s="407"/>
      <c r="D645" s="1" t="s">
        <v>48</v>
      </c>
      <c r="E645" s="291" t="str">
        <f>IFERROR(OP_2/GP_2*100,"B")</f>
        <v>B</v>
      </c>
    </row>
    <row r="646" spans="1:5">
      <c r="A646" s="407"/>
      <c r="B646" s="407"/>
    </row>
    <row r="647" spans="1:5">
      <c r="A647" s="407"/>
      <c r="B647" s="407"/>
    </row>
    <row r="648" spans="1:5">
      <c r="A648" s="407"/>
      <c r="B648" s="407"/>
    </row>
    <row r="649" spans="1:5">
      <c r="A649" s="407"/>
      <c r="B649" s="407"/>
    </row>
    <row r="650" spans="1:5" ht="6" customHeight="1">
      <c r="A650" s="302"/>
    </row>
    <row r="651" spans="1:5">
      <c r="A651" s="313" t="s">
        <v>373</v>
      </c>
      <c r="B651" s="313"/>
    </row>
    <row r="652" spans="1:5" ht="3" customHeight="1">
      <c r="A652" s="302"/>
    </row>
    <row r="653" spans="1:5">
      <c r="A653" s="334" t="s">
        <v>5</v>
      </c>
    </row>
    <row r="654" spans="1:5" ht="3" customHeight="1">
      <c r="A654" s="334"/>
    </row>
    <row r="655" spans="1:5">
      <c r="A655" s="333" t="s">
        <v>11</v>
      </c>
      <c r="B655" s="332" t="str">
        <f>IFERROR(Cash/TA_2,"B")</f>
        <v>B</v>
      </c>
    </row>
    <row r="656" spans="1:5">
      <c r="A656" s="333" t="s">
        <v>374</v>
      </c>
      <c r="B656" s="314" t="str">
        <f>IFERROR(AR/TA_2*100,"B")</f>
        <v>B</v>
      </c>
    </row>
    <row r="657" spans="1:2">
      <c r="A657" s="333" t="s">
        <v>10</v>
      </c>
      <c r="B657" s="314" t="str">
        <f>IFERROR(INV_2/TA_2*100,"B")</f>
        <v>B</v>
      </c>
    </row>
    <row r="658" spans="1:2">
      <c r="A658" s="333" t="s">
        <v>7</v>
      </c>
      <c r="B658" s="317" t="str">
        <f>IFERROR(Oca/TA_2*100,"B")</f>
        <v>B</v>
      </c>
    </row>
    <row r="659" spans="1:2">
      <c r="A659" s="334" t="s">
        <v>64</v>
      </c>
      <c r="B659" s="319" t="str">
        <f>IFERROR(CA_2/TA_2*100,"B")</f>
        <v>B</v>
      </c>
    </row>
    <row r="660" spans="1:2" ht="3" customHeight="1">
      <c r="A660" s="334"/>
    </row>
    <row r="661" spans="1:2">
      <c r="A661" s="333" t="s">
        <v>375</v>
      </c>
      <c r="B661" s="317" t="str">
        <f>IFERROR(OFA/TA_2*100,"B")</f>
        <v>B</v>
      </c>
    </row>
    <row r="662" spans="1:2">
      <c r="A662" s="334" t="s">
        <v>63</v>
      </c>
      <c r="B662" s="318">
        <v>1</v>
      </c>
    </row>
    <row r="663" spans="1:2" ht="6" customHeight="1">
      <c r="A663" s="334"/>
    </row>
    <row r="664" spans="1:2">
      <c r="A664" s="334" t="s">
        <v>376</v>
      </c>
    </row>
    <row r="665" spans="1:2">
      <c r="A665" s="333" t="s">
        <v>377</v>
      </c>
      <c r="B665" s="320" t="str">
        <f>IFERROR(AP/TA_2,"B")</f>
        <v>B</v>
      </c>
    </row>
    <row r="666" spans="1:2">
      <c r="A666" s="333" t="s">
        <v>378</v>
      </c>
      <c r="B666" s="314" t="str">
        <f>IFERROR(NP/TA_2*100,"B")</f>
        <v>B</v>
      </c>
    </row>
    <row r="667" spans="1:2">
      <c r="A667" s="333" t="s">
        <v>69</v>
      </c>
      <c r="B667" s="317" t="str">
        <f>IFERROR(Ocl/TA_2*100,"B")</f>
        <v>B</v>
      </c>
    </row>
    <row r="668" spans="1:2">
      <c r="A668" s="334" t="s">
        <v>65</v>
      </c>
      <c r="B668" s="319" t="str">
        <f>IFERROR(CL/TA_2*100,"B")</f>
        <v>B</v>
      </c>
    </row>
    <row r="669" spans="1:2" ht="3" customHeight="1">
      <c r="A669" s="333"/>
    </row>
    <row r="670" spans="1:2">
      <c r="A670" s="333" t="s">
        <v>70</v>
      </c>
      <c r="B670" s="314" t="str">
        <f>IFERROR(LTL/TA_2*100,"B")</f>
        <v>B</v>
      </c>
    </row>
    <row r="671" spans="1:2">
      <c r="A671" s="333" t="s">
        <v>379</v>
      </c>
      <c r="B671" s="317" t="str">
        <f>IFERROR(NW_2/TA_2*100,"B")</f>
        <v>B</v>
      </c>
    </row>
    <row r="672" spans="1:2">
      <c r="A672" s="334" t="s">
        <v>380</v>
      </c>
      <c r="B672" s="318">
        <v>1</v>
      </c>
    </row>
    <row r="673" spans="1:2" ht="6" customHeight="1">
      <c r="A673" s="334"/>
      <c r="B673" s="318"/>
    </row>
    <row r="674" spans="1:2">
      <c r="A674" s="331" t="s">
        <v>417</v>
      </c>
      <c r="B674" s="331"/>
    </row>
    <row r="675" spans="1:2">
      <c r="A675" s="333" t="s">
        <v>382</v>
      </c>
      <c r="B675" s="314" t="str">
        <f>IFERROR(CA_2/CL,"B")</f>
        <v>B</v>
      </c>
    </row>
    <row r="676" spans="1:2">
      <c r="A676" s="333" t="s">
        <v>383</v>
      </c>
      <c r="B676" s="314" t="str">
        <f>IFERROR((Cash+AR)/CL,"B")</f>
        <v>B</v>
      </c>
    </row>
    <row r="677" spans="1:2">
      <c r="A677" s="333" t="s">
        <v>397</v>
      </c>
      <c r="B677" s="320" t="str">
        <f>IFERROR(Cash/CL,"B")</f>
        <v>B</v>
      </c>
    </row>
    <row r="678" spans="1:2" ht="5.0999999999999996" customHeight="1">
      <c r="A678" s="334"/>
      <c r="B678" s="318"/>
    </row>
    <row r="679" spans="1:2">
      <c r="A679" s="330" t="s">
        <v>430</v>
      </c>
      <c r="B679" s="318"/>
    </row>
    <row r="680" spans="1:2">
      <c r="A680" s="329" t="s">
        <v>362</v>
      </c>
      <c r="B680" s="314" t="str">
        <f>IFERROR((AAR/((NS*(100-CSH)/100)/365)),"B")</f>
        <v>B</v>
      </c>
    </row>
    <row r="681" spans="1:2">
      <c r="A681" s="329" t="s">
        <v>431</v>
      </c>
      <c r="B681" s="317" t="str">
        <f>IFERROR(365/(WHSCOGS/AVG_2),"B")</f>
        <v>B</v>
      </c>
    </row>
    <row r="682" spans="1:2">
      <c r="A682" s="329" t="s">
        <v>432</v>
      </c>
      <c r="B682" s="285" t="str">
        <f>IFERROR((ARDAYS+INVDAYS),"B")</f>
        <v>B</v>
      </c>
    </row>
    <row r="683" spans="1:2">
      <c r="A683" s="329" t="s">
        <v>433</v>
      </c>
      <c r="B683" s="317" t="str">
        <f>IFERROR(((AAP)/(COGS_2/365)),"B")</f>
        <v>B</v>
      </c>
    </row>
    <row r="684" spans="1:2">
      <c r="A684" s="329" t="s">
        <v>396</v>
      </c>
      <c r="B684" s="285" t="str">
        <f>IFERROR((ARDAYS+INVDAYS)-APDAYS,"B")</f>
        <v>B</v>
      </c>
    </row>
    <row r="685" spans="1:2" ht="6" customHeight="1">
      <c r="A685" s="334"/>
      <c r="B685" s="318"/>
    </row>
    <row r="686" spans="1:2">
      <c r="A686" s="331" t="s">
        <v>381</v>
      </c>
      <c r="B686" s="331"/>
    </row>
    <row r="687" spans="1:2">
      <c r="A687" s="333" t="s">
        <v>384</v>
      </c>
      <c r="B687" s="320" t="str">
        <f>IFERROR(AP/INV_2,"B")</f>
        <v>B</v>
      </c>
    </row>
    <row r="688" spans="1:2">
      <c r="A688" s="333" t="s">
        <v>385</v>
      </c>
      <c r="B688" s="314" t="str">
        <f>IFERROR(((AAP)/(COGS_2/365)),"B")</f>
        <v>B</v>
      </c>
    </row>
    <row r="689" spans="1:3">
      <c r="A689" s="328" t="s">
        <v>386</v>
      </c>
      <c r="B689" s="314" t="str">
        <f>IFERROR((TA_2-NW_2)/NW_2,"B")</f>
        <v>B</v>
      </c>
    </row>
    <row r="690" spans="1:3">
      <c r="A690" s="328" t="s">
        <v>310</v>
      </c>
      <c r="B690" s="320" t="str">
        <f>IFERROR((PBT_2+Int)/NS,"B")</f>
        <v>B</v>
      </c>
    </row>
    <row r="691" spans="1:3">
      <c r="A691" s="333" t="s">
        <v>387</v>
      </c>
      <c r="B691" s="320" t="str">
        <f>IFERROR((PBT_2+Int)/TA_2,"B")</f>
        <v>B</v>
      </c>
    </row>
    <row r="692" spans="1:3">
      <c r="A692" s="327" t="s">
        <v>419</v>
      </c>
      <c r="B692" s="320" t="str">
        <f>IFERROR((PBT_2+Int+DPR)/NS,"B")</f>
        <v>B</v>
      </c>
    </row>
    <row r="693" spans="1:3">
      <c r="A693" s="333" t="s">
        <v>388</v>
      </c>
      <c r="B693" s="314" t="str">
        <f>IFERROR((PBT_2+Int)/Int,"B")</f>
        <v>B</v>
      </c>
    </row>
    <row r="694" spans="1:3" ht="6" customHeight="1">
      <c r="A694" s="333"/>
      <c r="B694" s="314"/>
    </row>
    <row r="695" spans="1:3">
      <c r="A695" s="331" t="s">
        <v>434</v>
      </c>
      <c r="B695" s="331"/>
    </row>
    <row r="696" spans="1:3">
      <c r="A696" s="334" t="s">
        <v>249</v>
      </c>
    </row>
    <row r="697" spans="1:3">
      <c r="A697" s="333" t="s">
        <v>435</v>
      </c>
      <c r="B697" s="326" t="str">
        <f>IF(ISBLANK(CSH),"b",CSH/100)</f>
        <v>b</v>
      </c>
    </row>
    <row r="698" spans="1:3">
      <c r="A698" s="333" t="s">
        <v>362</v>
      </c>
      <c r="B698" s="314" t="str">
        <f>IFERROR((AAR/((NS*(100-CSH)/100)/365)),"B")</f>
        <v>B</v>
      </c>
    </row>
    <row r="699" spans="1:3">
      <c r="A699" s="333" t="s">
        <v>390</v>
      </c>
      <c r="B699" s="320" t="str">
        <f>IFERROR(BD/NS,"B")</f>
        <v>B</v>
      </c>
      <c r="C699" s="4" t="s">
        <v>738</v>
      </c>
    </row>
    <row r="700" spans="1:3" ht="3" customHeight="1">
      <c r="A700" s="333"/>
    </row>
    <row r="701" spans="1:3">
      <c r="A701" s="334" t="s">
        <v>10</v>
      </c>
    </row>
    <row r="702" spans="1:3">
      <c r="A702" s="333" t="s">
        <v>391</v>
      </c>
      <c r="B702" s="314" t="str">
        <f>IFERROR(WHSCOGS/AVG_2,"B")</f>
        <v>B</v>
      </c>
    </row>
    <row r="703" spans="1:3">
      <c r="A703" s="333" t="s">
        <v>392</v>
      </c>
      <c r="B703" s="314" t="str">
        <f>IFERROR(365/(WHSCOGS/AVG_2),"B")</f>
        <v>B</v>
      </c>
    </row>
    <row r="704" spans="1:3">
      <c r="A704" s="333" t="s">
        <v>393</v>
      </c>
      <c r="B704" s="314" t="str">
        <f>IFERROR(WHSNS/AVG_2,"B")</f>
        <v>B</v>
      </c>
    </row>
    <row r="705" spans="1:4">
      <c r="A705" s="333" t="s">
        <v>394</v>
      </c>
      <c r="B705" s="320" t="str">
        <f>IFERROR((WHSGP)/AVG_2,"B")</f>
        <v>B</v>
      </c>
    </row>
    <row r="706" spans="1:4">
      <c r="A706" s="333" t="s">
        <v>398</v>
      </c>
      <c r="B706" s="314" t="str">
        <f>IFERROR(NS/(CA_2-CL),"B")</f>
        <v>B</v>
      </c>
    </row>
    <row r="707" spans="1:4" ht="6" customHeight="1"/>
    <row r="708" spans="1:4">
      <c r="A708" s="313" t="s">
        <v>426</v>
      </c>
      <c r="B708" s="313"/>
    </row>
    <row r="709" spans="1:4" ht="6" customHeight="1"/>
    <row r="710" spans="1:4">
      <c r="A710" s="334" t="s">
        <v>399</v>
      </c>
    </row>
    <row r="711" spans="1:4">
      <c r="A711" s="159" t="s">
        <v>493</v>
      </c>
      <c r="B711" s="428" t="str">
        <f>IF(SKU=0,"b",IF(SKU&gt;0,SKU_Cigarettes,0))</f>
        <v>b</v>
      </c>
    </row>
    <row r="712" spans="1:4">
      <c r="A712" s="159" t="s">
        <v>494</v>
      </c>
      <c r="B712" s="428" t="str">
        <f>IF(SKU=0,"b",IF(SKU&gt;0,SKU_Tobacco,0))</f>
        <v>b</v>
      </c>
    </row>
    <row r="713" spans="1:4">
      <c r="A713" s="159" t="s">
        <v>495</v>
      </c>
      <c r="B713" s="428" t="str">
        <f>IF(SKU=0,"b",IF(SKU&gt;0,SKU_Candy,0))</f>
        <v>b</v>
      </c>
    </row>
    <row r="714" spans="1:4">
      <c r="A714" s="159" t="s">
        <v>496</v>
      </c>
      <c r="B714" s="428" t="str">
        <f>IF(SKU=0,"b",IF(SKU&gt;0,SKU_Food,0))</f>
        <v>b</v>
      </c>
    </row>
    <row r="715" spans="1:4">
      <c r="A715" s="4" t="s">
        <v>729</v>
      </c>
      <c r="B715" s="428" t="str">
        <f>IF(SKU=0,"b",IF(SKU&gt;0,SKU_Frozen,0))</f>
        <v>b</v>
      </c>
    </row>
    <row r="716" spans="1:4">
      <c r="A716" s="4" t="s">
        <v>730</v>
      </c>
      <c r="B716" s="428" t="str">
        <f>IF(SKU=0,"b",IF(SKU&gt;0,SKU_Dairy,0))</f>
        <v>b</v>
      </c>
    </row>
    <row r="717" spans="1:4">
      <c r="A717" s="159" t="s">
        <v>497</v>
      </c>
      <c r="B717" s="428" t="str">
        <f>IF(SKU=0,"b",IF(SKU&gt;0,SKU_Grocery,0))</f>
        <v>b</v>
      </c>
    </row>
    <row r="718" spans="1:4">
      <c r="A718" s="159" t="s">
        <v>498</v>
      </c>
      <c r="B718" s="428" t="str">
        <f>IF(SKU=0,"b",IF(SKU&gt;0,SKU_HBC,0))</f>
        <v>b</v>
      </c>
      <c r="D718" s="159"/>
    </row>
    <row r="719" spans="1:4">
      <c r="A719" s="159" t="s">
        <v>499</v>
      </c>
      <c r="B719" s="428" t="str">
        <f>IF(SKU=0,"b",IF(SKU&gt;0,SKU_GenlMdse,0))</f>
        <v>b</v>
      </c>
    </row>
    <row r="720" spans="1:4">
      <c r="A720" s="159" t="s">
        <v>501</v>
      </c>
      <c r="B720" s="428" t="str">
        <f>IF(SKU=0,"b",IF(SKU&gt;0,SKU_Beverage,0))</f>
        <v>b</v>
      </c>
    </row>
    <row r="721" spans="1:5">
      <c r="A721" s="159" t="s">
        <v>709</v>
      </c>
      <c r="B721" s="428" t="str">
        <f>IF(SKU=0,"b",IF(SKU&gt;0,SKU_Paper,0))</f>
        <v>b</v>
      </c>
    </row>
    <row r="722" spans="1:5">
      <c r="A722" s="159" t="s">
        <v>503</v>
      </c>
      <c r="B722" s="428" t="str">
        <f>IF(SKU=0,"b",IF(SKU&gt;0,SKU_Auto,0))</f>
        <v>b</v>
      </c>
    </row>
    <row r="723" spans="1:5">
      <c r="A723" s="316" t="s">
        <v>264</v>
      </c>
      <c r="B723" s="436" t="str">
        <f>IF(SKU=0,"b",IF(SKU&gt;0,SKU_OPROD,0))</f>
        <v>b</v>
      </c>
    </row>
    <row r="724" spans="1:5">
      <c r="A724" s="431" t="s">
        <v>657</v>
      </c>
      <c r="B724" s="437" t="str">
        <f>IF((SKU&gt;0),SKU,"b")</f>
        <v>b</v>
      </c>
    </row>
    <row r="725" spans="1:5">
      <c r="A725" s="334" t="s">
        <v>655</v>
      </c>
    </row>
    <row r="726" spans="1:5">
      <c r="A726" s="159" t="s">
        <v>493</v>
      </c>
      <c r="B726" s="225" t="str">
        <f>IF(NS_Tot=0,"b",IF(NS_Tot&gt;0,NS_Cigarettes/NS_Tot,0))</f>
        <v>b</v>
      </c>
      <c r="D726" s="4" t="s">
        <v>493</v>
      </c>
      <c r="E726" s="225" t="str">
        <f>IFERROR(NS_Cigarettes/NS,"B")</f>
        <v>B</v>
      </c>
    </row>
    <row r="727" spans="1:5">
      <c r="A727" s="159" t="s">
        <v>494</v>
      </c>
      <c r="B727" s="435" t="str">
        <f>IF(NS_Tot=0,"b",IF(NS_Tot&gt;0,NS_Tobacco/NS_Tot*100,0))</f>
        <v>b</v>
      </c>
      <c r="D727" s="4" t="s">
        <v>494</v>
      </c>
      <c r="E727" s="226" t="str">
        <f>IFERROR(NS_Tobacco/NS*100,"B")</f>
        <v>B</v>
      </c>
    </row>
    <row r="728" spans="1:5">
      <c r="A728" s="159" t="s">
        <v>495</v>
      </c>
      <c r="B728" s="435" t="str">
        <f>IF(NS_Tot=0,"b",IF(NS_Tot&gt;0,NS_Candy/NS_Tot*100,0))</f>
        <v>b</v>
      </c>
      <c r="D728" s="4" t="s">
        <v>495</v>
      </c>
      <c r="E728" s="226" t="str">
        <f>IFERROR(NS_Candy/NS*100,"B")</f>
        <v>B</v>
      </c>
    </row>
    <row r="729" spans="1:5">
      <c r="A729" s="159" t="s">
        <v>496</v>
      </c>
      <c r="B729" s="435" t="str">
        <f>IF(NS_Tot=0,"b",IF(NS_Tot&gt;0,NS_Food/NS_Tot*100,0))</f>
        <v>b</v>
      </c>
      <c r="D729" s="4" t="s">
        <v>496</v>
      </c>
      <c r="E729" s="226" t="str">
        <f>IFERROR(NS_Food/NS*100,"B")</f>
        <v>B</v>
      </c>
    </row>
    <row r="730" spans="1:5">
      <c r="A730" s="4" t="s">
        <v>729</v>
      </c>
      <c r="B730" s="435" t="str">
        <f>IF(NS_Tot=0,"b",IF(NS_Tot&gt;0,NS_Frozen/NS_Tot*100,0))</f>
        <v>b</v>
      </c>
      <c r="D730" s="4" t="s">
        <v>729</v>
      </c>
      <c r="E730" s="226" t="str">
        <f>IFERROR(NS_Frozen/NS*100,"B")</f>
        <v>B</v>
      </c>
    </row>
    <row r="731" spans="1:5">
      <c r="A731" s="4" t="s">
        <v>730</v>
      </c>
      <c r="B731" s="435" t="str">
        <f>IF(NS_Tot=0,"b",IF(NS_Tot&gt;0,NS_Dairy/NS_Tot*100,0))</f>
        <v>b</v>
      </c>
      <c r="D731" s="4" t="s">
        <v>730</v>
      </c>
      <c r="E731" s="226" t="str">
        <f>IFERROR(NS_Dairy/NS*100,"B")</f>
        <v>B</v>
      </c>
    </row>
    <row r="732" spans="1:5">
      <c r="A732" s="159" t="s">
        <v>497</v>
      </c>
      <c r="B732" s="435" t="str">
        <f>IF(NS_Tot=0,"b",IF(NS_Tot&gt;0,NS_Grocery/NS_Tot*100,0))</f>
        <v>b</v>
      </c>
      <c r="D732" s="4" t="s">
        <v>497</v>
      </c>
      <c r="E732" s="226" t="str">
        <f>IFERROR(NS_Grocery/NS*100,"B")</f>
        <v>B</v>
      </c>
    </row>
    <row r="733" spans="1:5">
      <c r="A733" s="159" t="s">
        <v>498</v>
      </c>
      <c r="B733" s="435" t="str">
        <f>IF(NS_Tot=0,"b",IF(NS_Tot&gt;0,NS_HBC/NS_Tot*100,0))</f>
        <v>b</v>
      </c>
      <c r="D733" s="4" t="s">
        <v>498</v>
      </c>
      <c r="E733" s="226" t="str">
        <f>IFERROR(NS_HBC/NS*100,"B")</f>
        <v>B</v>
      </c>
    </row>
    <row r="734" spans="1:5">
      <c r="A734" s="159" t="s">
        <v>499</v>
      </c>
      <c r="B734" s="435" t="str">
        <f>IF(NS_Tot=0,"b",IF(NS_Tot&gt;0,NS_GenlMdse/NS_Tot*100,0))</f>
        <v>b</v>
      </c>
      <c r="D734" s="4" t="s">
        <v>499</v>
      </c>
      <c r="E734" s="226" t="str">
        <f>IFERROR(NS_GenlMdse/NS*100,"B")</f>
        <v>B</v>
      </c>
    </row>
    <row r="735" spans="1:5">
      <c r="A735" s="159" t="s">
        <v>501</v>
      </c>
      <c r="B735" s="435" t="str">
        <f>IF(NS_Tot=0,"b",IF(NS_Tot&gt;0,NS_Beverage/NS_Tot*100,0))</f>
        <v>b</v>
      </c>
      <c r="D735" s="4" t="s">
        <v>501</v>
      </c>
      <c r="E735" s="226" t="str">
        <f>IFERROR(NS_Beverage/NS*100,"B")</f>
        <v>B</v>
      </c>
    </row>
    <row r="736" spans="1:5">
      <c r="A736" s="159" t="s">
        <v>709</v>
      </c>
      <c r="B736" s="435" t="str">
        <f>IF(NS_Tot=0,"b",IF(NS_Tot&gt;0,NS_Paper/NS_Tot*100,0))</f>
        <v>b</v>
      </c>
      <c r="D736" s="4" t="s">
        <v>502</v>
      </c>
      <c r="E736" s="226" t="str">
        <f>IFERROR(NS_Paper/NS*100,"B")</f>
        <v>B</v>
      </c>
    </row>
    <row r="737" spans="1:5">
      <c r="A737" s="159" t="s">
        <v>503</v>
      </c>
      <c r="B737" s="435" t="str">
        <f>IF(NS_Tot=0,"b",IF(NS_Tot&gt;0,NS_Auto/NS_Tot*100,0))</f>
        <v>b</v>
      </c>
      <c r="D737" s="4" t="s">
        <v>503</v>
      </c>
      <c r="E737" s="226" t="str">
        <f>IFERROR(NS_Auto/NS*100,"B")</f>
        <v>B</v>
      </c>
    </row>
    <row r="738" spans="1:5">
      <c r="A738" s="316" t="s">
        <v>264</v>
      </c>
      <c r="B738" s="324" t="str">
        <f>IF(NS_Tot=0,"b",IF(NS_Tot&gt;0,NS_OPROD/NS_Tot*100,0))</f>
        <v>b</v>
      </c>
      <c r="D738" s="282" t="s">
        <v>404</v>
      </c>
      <c r="E738" s="246" t="str">
        <f>IFERROR(NS_OPROD/NS*100,"B")</f>
        <v>B</v>
      </c>
    </row>
    <row r="739" spans="1:5">
      <c r="A739" s="431" t="s">
        <v>265</v>
      </c>
      <c r="B739" s="318">
        <v>1</v>
      </c>
    </row>
    <row r="740" spans="1:5" ht="6" customHeight="1"/>
    <row r="741" spans="1:5">
      <c r="A741" s="334" t="s">
        <v>656</v>
      </c>
    </row>
    <row r="742" spans="1:5">
      <c r="A742" s="159" t="s">
        <v>493</v>
      </c>
      <c r="B742" s="63" t="str">
        <f>IF(ISBLANK(Turn_Cigarettes),"b",Turn_Cigarettes)</f>
        <v>b</v>
      </c>
    </row>
    <row r="743" spans="1:5">
      <c r="A743" s="159" t="s">
        <v>494</v>
      </c>
      <c r="B743" s="63" t="str">
        <f>IF(ISBLANK(Turn_Tabacco),"b",Turn_Tabacco)</f>
        <v>b</v>
      </c>
    </row>
    <row r="744" spans="1:5">
      <c r="A744" s="159" t="s">
        <v>495</v>
      </c>
      <c r="B744" s="63" t="str">
        <f>IF(ISBLANK(Turn_Candy),"b",Turn_Candy)</f>
        <v>b</v>
      </c>
    </row>
    <row r="745" spans="1:5">
      <c r="A745" s="159" t="s">
        <v>496</v>
      </c>
      <c r="B745" s="63" t="str">
        <f>IF(ISBLANK(Turn_Food),"b",Turn_Food)</f>
        <v>b</v>
      </c>
    </row>
    <row r="746" spans="1:5">
      <c r="A746" s="4" t="s">
        <v>729</v>
      </c>
      <c r="B746" s="63" t="str">
        <f>IF(ISBLANK(Turn_Frozen),"b",Turn_Food)</f>
        <v>b</v>
      </c>
    </row>
    <row r="747" spans="1:5">
      <c r="A747" s="4" t="s">
        <v>730</v>
      </c>
      <c r="B747" s="63" t="str">
        <f>IF(ISBLANK(Turn_Dairy),"b",Turn_Dairy)</f>
        <v>b</v>
      </c>
      <c r="D747" s="159"/>
    </row>
    <row r="748" spans="1:5">
      <c r="A748" s="159" t="s">
        <v>497</v>
      </c>
      <c r="B748" s="63" t="str">
        <f>IF(ISBLANK(Turn_Grocery),"b",Turn_Grocery)</f>
        <v>b</v>
      </c>
    </row>
    <row r="749" spans="1:5">
      <c r="A749" s="159" t="s">
        <v>498</v>
      </c>
      <c r="B749" s="63" t="str">
        <f>IF(ISBLANK(Turn_HBC),"b",Turn_HBC)</f>
        <v>b</v>
      </c>
    </row>
    <row r="750" spans="1:5">
      <c r="A750" s="159" t="s">
        <v>499</v>
      </c>
      <c r="B750" s="63" t="str">
        <f>IF(ISBLANK(Turn_GenlMdse),"b",Turn_GenlMdse)</f>
        <v>b</v>
      </c>
    </row>
    <row r="751" spans="1:5">
      <c r="A751" s="159" t="s">
        <v>501</v>
      </c>
      <c r="B751" s="63" t="str">
        <f>IF(ISBLANK(Turn_Beverage),"b",Turn_Beverage)</f>
        <v>b</v>
      </c>
    </row>
    <row r="752" spans="1:5">
      <c r="A752" s="159" t="s">
        <v>709</v>
      </c>
      <c r="B752" s="63" t="str">
        <f>IF(ISBLANK(Turn_Paper),"b",Turn_Paper)</f>
        <v>b</v>
      </c>
    </row>
    <row r="753" spans="1:5">
      <c r="A753" s="159" t="s">
        <v>503</v>
      </c>
      <c r="B753" s="63" t="str">
        <f>IF(ISBLANK(Turn_Auto),"b",Turn_Auto)</f>
        <v>b</v>
      </c>
    </row>
    <row r="754" spans="1:5">
      <c r="A754" s="316" t="s">
        <v>264</v>
      </c>
      <c r="B754" s="63" t="str">
        <f>IF(ISBLANK(Turn_OPROD),"b",Turn_OPROD)</f>
        <v>b</v>
      </c>
    </row>
    <row r="755" spans="1:5">
      <c r="A755" s="431" t="s">
        <v>658</v>
      </c>
      <c r="B755" s="291" t="str">
        <f>IFERROR(WHSCOGS/AVG_2,"B")</f>
        <v>B</v>
      </c>
    </row>
    <row r="756" spans="1:5">
      <c r="A756" s="331" t="s">
        <v>148</v>
      </c>
      <c r="B756" s="331"/>
    </row>
    <row r="757" spans="1:5" ht="6" customHeight="1">
      <c r="A757" s="439"/>
      <c r="B757" s="438"/>
    </row>
    <row r="758" spans="1:5">
      <c r="A758" s="439" t="s">
        <v>659</v>
      </c>
      <c r="B758" s="13" t="str">
        <f>IF(ISBLANK(LOC),"b",LOC)</f>
        <v>b</v>
      </c>
    </row>
    <row r="759" spans="1:5">
      <c r="A759" s="439" t="s">
        <v>660</v>
      </c>
      <c r="B759" s="227" t="str">
        <f>IFERROR((NS)/LOC,"B")</f>
        <v>B</v>
      </c>
    </row>
    <row r="760" spans="1:5" ht="6" customHeight="1">
      <c r="A760" s="439"/>
      <c r="B760" s="438"/>
    </row>
    <row r="761" spans="1:5">
      <c r="A761" s="439" t="s">
        <v>661</v>
      </c>
      <c r="B761" s="13" t="str">
        <f>IF(ISBLANK(SqFt),"b",SqFt)</f>
        <v>b</v>
      </c>
    </row>
    <row r="762" spans="1:5">
      <c r="A762" s="439" t="s">
        <v>662</v>
      </c>
      <c r="B762" s="227" t="str">
        <f>IFERROR((NS)/SqFt,"B")</f>
        <v>B</v>
      </c>
    </row>
    <row r="763" spans="1:5" ht="6" customHeight="1">
      <c r="A763" s="439"/>
      <c r="B763" s="13"/>
    </row>
    <row r="764" spans="1:5">
      <c r="A764" s="368" t="s">
        <v>704</v>
      </c>
      <c r="B764" s="13" t="str">
        <f>IF(ISBLANK(SqFt_Cold),"b",SqFt_Cold)</f>
        <v>b</v>
      </c>
      <c r="C764" s="1" t="s">
        <v>737</v>
      </c>
    </row>
    <row r="765" spans="1:5">
      <c r="A765" s="439" t="s">
        <v>736</v>
      </c>
      <c r="B765" s="459" t="str">
        <f>IFERROR((SqFt_Cold)/SqFt,"B")</f>
        <v>B</v>
      </c>
    </row>
    <row r="766" spans="1:5" ht="6" customHeight="1">
      <c r="A766" s="439"/>
      <c r="B766" s="438"/>
    </row>
    <row r="767" spans="1:5">
      <c r="A767" s="334" t="s">
        <v>263</v>
      </c>
    </row>
    <row r="768" spans="1:5">
      <c r="A768" s="333" t="s">
        <v>445</v>
      </c>
      <c r="B768" s="13" t="str">
        <f>IF(ISBLANK(Shipments),"b",Shipments)</f>
        <v>b</v>
      </c>
      <c r="D768" s="4"/>
      <c r="E768" s="63"/>
    </row>
    <row r="769" spans="1:5">
      <c r="A769" s="333" t="s">
        <v>444</v>
      </c>
      <c r="B769" s="227" t="str">
        <f>IFERROR((NS/12)/Shipments,"B")</f>
        <v>B</v>
      </c>
    </row>
    <row r="770" spans="1:5">
      <c r="A770" s="333" t="s">
        <v>446</v>
      </c>
      <c r="B770" s="227" t="str">
        <f>IFERROR((COGS_2/12)/Shipments,"B")</f>
        <v>B</v>
      </c>
      <c r="C770" s="1"/>
    </row>
    <row r="771" spans="1:5" ht="6" customHeight="1">
      <c r="A771" s="333"/>
    </row>
    <row r="772" spans="1:5">
      <c r="A772" s="334" t="s">
        <v>399</v>
      </c>
      <c r="D772" s="4"/>
      <c r="E772" s="325"/>
    </row>
    <row r="773" spans="1:5">
      <c r="A773" s="333" t="s">
        <v>400</v>
      </c>
      <c r="B773" s="325" t="str">
        <f>IF((SKU&gt;0),SKU,"b")</f>
        <v>b</v>
      </c>
      <c r="D773" s="4"/>
      <c r="E773" s="325"/>
    </row>
    <row r="774" spans="1:5">
      <c r="A774" s="333" t="s">
        <v>332</v>
      </c>
      <c r="B774" s="227" t="str">
        <f>IFERROR(NS/SKU,"B")</f>
        <v>B</v>
      </c>
      <c r="D774" s="4"/>
      <c r="E774" s="325"/>
    </row>
    <row r="775" spans="1:5">
      <c r="A775" s="333" t="s">
        <v>333</v>
      </c>
      <c r="B775" s="227" t="str">
        <f>IFERROR(AVG_2/SKU,"B")</f>
        <v>B</v>
      </c>
      <c r="D775" s="4"/>
      <c r="E775" s="335"/>
    </row>
    <row r="776" spans="1:5" ht="6" customHeight="1"/>
    <row r="777" spans="1:5">
      <c r="A777" s="334" t="s">
        <v>401</v>
      </c>
      <c r="D777" s="273"/>
      <c r="E777" s="227"/>
    </row>
    <row r="778" spans="1:5">
      <c r="A778" s="333" t="s">
        <v>438</v>
      </c>
      <c r="B778" s="325" t="str">
        <f>IF(ISBLANK(CUST),"b",CUST)</f>
        <v>b</v>
      </c>
      <c r="D778" s="273"/>
      <c r="E778" s="227"/>
    </row>
    <row r="779" spans="1:5">
      <c r="A779" s="333" t="s">
        <v>437</v>
      </c>
      <c r="B779" s="227" t="str">
        <f>IFERROR(NS/CUST,"B")</f>
        <v>B</v>
      </c>
      <c r="D779" s="273"/>
      <c r="E779" s="227"/>
    </row>
    <row r="780" spans="1:5">
      <c r="A780" s="333" t="s">
        <v>439</v>
      </c>
      <c r="B780" s="227" t="str">
        <f>IFERROR(GP_2/CUST,"B")</f>
        <v>B</v>
      </c>
      <c r="C780" s="1"/>
      <c r="D780" s="273"/>
      <c r="E780" s="227"/>
    </row>
    <row r="781" spans="1:5" ht="6" customHeight="1">
      <c r="D781" s="273"/>
      <c r="E781" s="227"/>
    </row>
    <row r="782" spans="1:5">
      <c r="A782" s="334" t="s">
        <v>262</v>
      </c>
      <c r="D782" s="273"/>
      <c r="E782" s="227"/>
    </row>
    <row r="783" spans="1:5">
      <c r="A783" s="333" t="s">
        <v>442</v>
      </c>
      <c r="B783" s="325" t="str">
        <f>IF(ISBLANK(Orders),"b",Orders)</f>
        <v>b</v>
      </c>
    </row>
    <row r="784" spans="1:5">
      <c r="A784" s="333" t="s">
        <v>441</v>
      </c>
      <c r="B784" s="227" t="str">
        <f>IFERROR(NS/(Orders*12),"B")</f>
        <v>B</v>
      </c>
    </row>
    <row r="785" spans="1:3">
      <c r="A785" s="333" t="s">
        <v>440</v>
      </c>
      <c r="B785" s="227" t="str">
        <f>IFERROR(GP_2/(Orders*12),"B")</f>
        <v>B</v>
      </c>
      <c r="C785" s="1"/>
    </row>
    <row r="786" spans="1:3" ht="6" customHeight="1">
      <c r="A786" s="333"/>
      <c r="B786" s="227"/>
      <c r="C786" s="1"/>
    </row>
    <row r="787" spans="1:3">
      <c r="A787" s="333" t="s">
        <v>402</v>
      </c>
      <c r="B787" s="335" t="str">
        <f>IF(ISBLANK(Lines),"b",Lines)</f>
        <v>b</v>
      </c>
    </row>
    <row r="788" spans="1:3">
      <c r="A788" s="333" t="s">
        <v>336</v>
      </c>
      <c r="B788" s="227" t="str">
        <f>IFERROR(NS/(Orders*(Lines*12)),"B")</f>
        <v>B</v>
      </c>
    </row>
    <row r="789" spans="1:3">
      <c r="A789" s="333" t="s">
        <v>443</v>
      </c>
      <c r="B789" s="227" t="str">
        <f>IFERROR(GP_2/(Orders*(Lines*12)),"B")</f>
        <v>B</v>
      </c>
      <c r="C789" s="1"/>
    </row>
    <row r="790" spans="1:3" ht="6" customHeight="1">
      <c r="A790" s="333"/>
      <c r="B790" s="227"/>
      <c r="C790" s="1"/>
    </row>
    <row r="791" spans="1:3">
      <c r="A791" s="333" t="s">
        <v>663</v>
      </c>
      <c r="B791" s="434" t="str">
        <f>IF(ISBLANK(NS_Online),"b",NS_Online/100)</f>
        <v>b</v>
      </c>
      <c r="C791" s="1"/>
    </row>
    <row r="792" spans="1:3">
      <c r="A792" s="333" t="s">
        <v>664</v>
      </c>
      <c r="B792" s="434" t="str">
        <f>IF(ISBLANK(ElecInv),"b",ElecInv/100)</f>
        <v>b</v>
      </c>
      <c r="C792" s="1"/>
    </row>
    <row r="793" spans="1:3" ht="6" customHeight="1">
      <c r="A793" s="333"/>
      <c r="B793" s="434"/>
      <c r="C793" s="1"/>
    </row>
    <row r="794" spans="1:3">
      <c r="A794" s="334" t="s">
        <v>665</v>
      </c>
      <c r="B794" s="434"/>
      <c r="C794" s="1"/>
    </row>
    <row r="795" spans="1:3">
      <c r="A795" s="333" t="s">
        <v>666</v>
      </c>
      <c r="B795" s="13" t="str">
        <f>IF(ISBLANK(TaxStamped),"b",TaxStamped)</f>
        <v>b</v>
      </c>
      <c r="C795" s="1"/>
    </row>
    <row r="796" spans="1:3">
      <c r="A796" s="333" t="s">
        <v>667</v>
      </c>
      <c r="B796" s="227" t="str">
        <f>IFERROR((NS/12)/TaxStamped,"B")</f>
        <v>B</v>
      </c>
      <c r="C796" s="1"/>
    </row>
    <row r="797" spans="1:3">
      <c r="A797" s="333" t="s">
        <v>668</v>
      </c>
      <c r="B797" s="433" t="str">
        <f>IF(ISBLANK(ExciseTax),"b",ExciseTax)</f>
        <v>b</v>
      </c>
      <c r="C797" s="1"/>
    </row>
    <row r="798" spans="1:3" ht="6" customHeight="1">
      <c r="A798" s="333"/>
      <c r="B798" s="434"/>
      <c r="C798" s="1"/>
    </row>
    <row r="799" spans="1:3">
      <c r="A799" s="334" t="s">
        <v>670</v>
      </c>
      <c r="B799" s="434"/>
      <c r="C799" s="1"/>
    </row>
    <row r="800" spans="1:3">
      <c r="A800" s="333" t="s">
        <v>485</v>
      </c>
      <c r="B800" s="434" t="str">
        <f>IF(ISBLANK(FairTrade),"b",FairTrade/100)</f>
        <v>b</v>
      </c>
      <c r="C800" s="1"/>
    </row>
    <row r="801" spans="1:5">
      <c r="A801" s="333" t="s">
        <v>671</v>
      </c>
      <c r="B801" s="434">
        <f>IF(ISBLANK(NonFair),"b",NonFair/100)</f>
        <v>1</v>
      </c>
      <c r="C801" s="1"/>
    </row>
    <row r="802" spans="1:5" ht="6" customHeight="1">
      <c r="A802" s="333"/>
      <c r="B802" s="434"/>
      <c r="C802" s="1"/>
    </row>
    <row r="803" spans="1:5">
      <c r="A803" s="334" t="s">
        <v>672</v>
      </c>
      <c r="B803" s="434"/>
      <c r="C803" s="1"/>
    </row>
    <row r="804" spans="1:5">
      <c r="A804" s="333" t="s">
        <v>673</v>
      </c>
      <c r="B804" s="434" t="str">
        <f>IF(ISBLANK(Retail),"b",Retail)</f>
        <v>b</v>
      </c>
      <c r="C804" s="1"/>
    </row>
    <row r="805" spans="1:5">
      <c r="A805" s="333" t="s">
        <v>674</v>
      </c>
      <c r="B805" s="429" t="str">
        <f>IF(ISBLANK(Loc_Retail),"b",Loc_Retail)</f>
        <v>b</v>
      </c>
      <c r="C805" s="1"/>
    </row>
    <row r="806" spans="1:5">
      <c r="A806" s="333" t="s">
        <v>675</v>
      </c>
      <c r="B806" s="161" t="str">
        <f>IF(ISBLANK(NS_Retail),"b",NS_Retail/Loc_Retail)</f>
        <v>b</v>
      </c>
      <c r="C806" s="1"/>
    </row>
    <row r="807" spans="1:5" ht="6" customHeight="1">
      <c r="A807" s="312"/>
    </row>
    <row r="808" spans="1:5">
      <c r="A808" s="331" t="s">
        <v>323</v>
      </c>
      <c r="B808" s="331"/>
    </row>
    <row r="809" spans="1:5">
      <c r="A809" s="334" t="s">
        <v>408</v>
      </c>
    </row>
    <row r="810" spans="1:5">
      <c r="A810" s="432" t="s">
        <v>467</v>
      </c>
      <c r="B810" s="335" t="str">
        <f>IF(ISBLANK(EMP_Out),"b",EMP_Out)</f>
        <v>b</v>
      </c>
      <c r="D810" s="157"/>
      <c r="E810" s="335"/>
    </row>
    <row r="811" spans="1:5">
      <c r="A811" s="159" t="s">
        <v>473</v>
      </c>
      <c r="B811" s="335" t="str">
        <f>IF(ISBLANK(EMP_SlsMgr),"b",EMP_SlsMgr)</f>
        <v>b</v>
      </c>
      <c r="D811" s="4"/>
      <c r="E811" s="335"/>
    </row>
    <row r="812" spans="1:5">
      <c r="A812" s="159" t="s">
        <v>470</v>
      </c>
      <c r="B812" s="335" t="str">
        <f>IF(ISBLANK(EMP_Mdse),"b",EMP_Mdse)</f>
        <v>b</v>
      </c>
      <c r="D812" s="4"/>
      <c r="E812" s="335"/>
    </row>
    <row r="813" spans="1:5">
      <c r="A813" s="159" t="s">
        <v>471</v>
      </c>
      <c r="B813" s="335" t="str">
        <f>IF(ISBLANK(EMP_Driver),"b",EMP_Driver)</f>
        <v>b</v>
      </c>
      <c r="D813" s="157"/>
      <c r="E813" s="335"/>
    </row>
    <row r="814" spans="1:5">
      <c r="A814" s="159" t="s">
        <v>218</v>
      </c>
      <c r="B814" s="335" t="str">
        <f>IF(ISBLANK(EMP_WHS),"b",EMP_WHS)</f>
        <v>b</v>
      </c>
      <c r="D814" s="157"/>
      <c r="E814" s="335"/>
    </row>
    <row r="815" spans="1:5">
      <c r="A815" s="4" t="s">
        <v>692</v>
      </c>
      <c r="B815" s="335" t="str">
        <f>IF(ISBLANK(EMP_Pur),"b",EMP_Pur)</f>
        <v>b</v>
      </c>
      <c r="D815" s="157"/>
      <c r="E815" s="335"/>
    </row>
    <row r="816" spans="1:5">
      <c r="A816" s="4" t="s">
        <v>693</v>
      </c>
      <c r="B816" s="335" t="str">
        <f>IF(ISBLANK(EMP_Mktg),"b",EMP_Mktg)</f>
        <v>b</v>
      </c>
      <c r="D816" s="157"/>
      <c r="E816" s="335"/>
    </row>
    <row r="817" spans="1:5">
      <c r="A817" s="4" t="s">
        <v>694</v>
      </c>
      <c r="B817" s="335" t="str">
        <f>IF(ISBLANK(EMP_Acctg),"b",EMP_Acctg)</f>
        <v>b</v>
      </c>
      <c r="D817" s="157"/>
      <c r="E817" s="335"/>
    </row>
    <row r="818" spans="1:5">
      <c r="A818" s="4" t="s">
        <v>696</v>
      </c>
      <c r="B818" s="335" t="str">
        <f>IF(ISBLANK(EMP_HR),"b",EMP_HR)</f>
        <v>b</v>
      </c>
      <c r="D818" s="157"/>
      <c r="E818" s="335"/>
    </row>
    <row r="819" spans="1:5">
      <c r="A819" s="4" t="s">
        <v>695</v>
      </c>
      <c r="B819" s="335" t="str">
        <f>IF(ISBLANK(EMP_IT),"b",EMP_IT)</f>
        <v>b</v>
      </c>
      <c r="D819" s="157"/>
      <c r="E819" s="335"/>
    </row>
    <row r="820" spans="1:5">
      <c r="A820" s="4" t="s">
        <v>697</v>
      </c>
      <c r="B820" s="435" t="str">
        <f>IF(Emp&gt;0,Oemp,"b")</f>
        <v>b</v>
      </c>
      <c r="D820" s="157"/>
      <c r="E820" s="335"/>
    </row>
    <row r="821" spans="1:5">
      <c r="A821" s="432" t="s">
        <v>472</v>
      </c>
      <c r="B821" s="430" t="str">
        <f>IF(ISBLANK(EMP_Exec),"b",EMP_Exec)</f>
        <v>b</v>
      </c>
      <c r="D821" s="157"/>
      <c r="E821" s="335"/>
    </row>
    <row r="822" spans="1:5">
      <c r="A822" s="302" t="s">
        <v>409</v>
      </c>
      <c r="B822" s="185" t="str">
        <f>IF(Emp&gt;0,Emp,"b")</f>
        <v>b</v>
      </c>
      <c r="D822" s="4"/>
      <c r="E822" s="335"/>
    </row>
    <row r="823" spans="1:5" ht="6" customHeight="1">
      <c r="A823" s="159"/>
      <c r="B823" s="159"/>
      <c r="D823" s="157"/>
      <c r="E823" s="335"/>
    </row>
    <row r="824" spans="1:5">
      <c r="A824" s="148" t="s">
        <v>161</v>
      </c>
      <c r="B824" s="159"/>
      <c r="D824" s="157"/>
      <c r="E824" s="335"/>
    </row>
    <row r="825" spans="1:5">
      <c r="A825" s="316" t="s">
        <v>367</v>
      </c>
      <c r="B825" s="225" t="str">
        <f>IFERROR(SAL/NS,"B")</f>
        <v>B</v>
      </c>
      <c r="D825" s="157"/>
      <c r="E825" s="335"/>
    </row>
    <row r="826" spans="1:5">
      <c r="A826" s="316" t="s">
        <v>247</v>
      </c>
      <c r="B826" s="226" t="str">
        <f>IFERROR(PT/NS*100,"B")</f>
        <v>B</v>
      </c>
      <c r="D826" s="157"/>
      <c r="E826" s="335"/>
    </row>
    <row r="827" spans="1:5">
      <c r="A827" s="316" t="s">
        <v>248</v>
      </c>
      <c r="B827" s="226" t="str">
        <f>IFERROR(GRP_INS/NS*100,"B")</f>
        <v>B</v>
      </c>
      <c r="D827" s="157"/>
      <c r="E827" s="335"/>
    </row>
    <row r="828" spans="1:5">
      <c r="A828" s="159" t="s">
        <v>676</v>
      </c>
      <c r="B828" s="246" t="str">
        <f>IFERROR(BENE/NS*100,"B")</f>
        <v>B</v>
      </c>
      <c r="D828" s="157"/>
      <c r="E828" s="335"/>
    </row>
    <row r="829" spans="1:5">
      <c r="A829" s="431" t="s">
        <v>162</v>
      </c>
      <c r="B829" s="225" t="str">
        <f>IFERROR(PA/NS,"B")</f>
        <v>B</v>
      </c>
      <c r="D829" s="157"/>
      <c r="E829" s="335"/>
    </row>
    <row r="830" spans="1:5" ht="6" customHeight="1">
      <c r="A830" s="312"/>
      <c r="B830" s="159"/>
    </row>
    <row r="831" spans="1:5">
      <c r="A831" s="312" t="s">
        <v>679</v>
      </c>
      <c r="B831" s="225" t="str">
        <f>IFERROR(PA/GP_2,"B")</f>
        <v>B</v>
      </c>
    </row>
    <row r="832" spans="1:5" ht="6" customHeight="1">
      <c r="A832" s="312"/>
      <c r="B832" s="159"/>
    </row>
    <row r="833" spans="1:2">
      <c r="A833" s="302" t="s">
        <v>323</v>
      </c>
      <c r="B833" s="159"/>
    </row>
    <row r="834" spans="1:2">
      <c r="A834" s="312" t="s">
        <v>678</v>
      </c>
      <c r="B834" s="227" t="str">
        <f>IFERROR(NS/EMP_Out,"B")</f>
        <v>B</v>
      </c>
    </row>
    <row r="835" spans="1:2">
      <c r="A835" s="312" t="s">
        <v>359</v>
      </c>
      <c r="B835" s="227" t="str">
        <f>IFERROR(NS/Emp,"B")</f>
        <v>B</v>
      </c>
    </row>
    <row r="836" spans="1:2">
      <c r="A836" s="312" t="s">
        <v>436</v>
      </c>
      <c r="B836" s="227" t="str">
        <f>IFERROR(GP_2/Emp,"B")</f>
        <v>B</v>
      </c>
    </row>
    <row r="837" spans="1:2">
      <c r="A837" s="312" t="s">
        <v>406</v>
      </c>
      <c r="B837" s="227" t="str">
        <f>IFERROR(PA/Emp,"B")</f>
        <v>B</v>
      </c>
    </row>
    <row r="839" spans="1:2">
      <c r="A839" s="313" t="s">
        <v>680</v>
      </c>
      <c r="B839" s="313"/>
    </row>
    <row r="840" spans="1:2">
      <c r="A840" s="236" t="s">
        <v>351</v>
      </c>
      <c r="B840" s="308">
        <v>1</v>
      </c>
    </row>
    <row r="841" spans="1:2">
      <c r="A841" s="236" t="s">
        <v>363</v>
      </c>
      <c r="B841" s="323" t="str">
        <f>IF(NS&gt;0,NS/1000000,"b")</f>
        <v>b</v>
      </c>
    </row>
    <row r="842" spans="1:2">
      <c r="A842" s="236" t="s">
        <v>425</v>
      </c>
      <c r="B842" s="225" t="str">
        <f>IFERROR((NS-Prev)/Prev,"B")</f>
        <v>B</v>
      </c>
    </row>
    <row r="843" spans="1:2" ht="6" customHeight="1"/>
    <row r="844" spans="1:2">
      <c r="A844" s="302" t="s">
        <v>365</v>
      </c>
      <c r="B844" s="318">
        <v>1</v>
      </c>
    </row>
    <row r="845" spans="1:2">
      <c r="A845" s="321" t="s">
        <v>55</v>
      </c>
      <c r="B845" s="317" t="str">
        <f>IFERROR(COGS_2/NS*100,"B")</f>
        <v>B</v>
      </c>
    </row>
    <row r="846" spans="1:2">
      <c r="A846" s="302" t="s">
        <v>360</v>
      </c>
      <c r="B846" s="319" t="str">
        <f>IFERROR(GP_2/NS*100,"B")</f>
        <v>B</v>
      </c>
    </row>
    <row r="847" spans="1:2" ht="2.1" customHeight="1"/>
    <row r="848" spans="1:2">
      <c r="A848" s="408" t="s">
        <v>535</v>
      </c>
    </row>
    <row r="849" spans="1:2">
      <c r="A849" s="4" t="s">
        <v>681</v>
      </c>
      <c r="B849" s="226" t="str">
        <f>IFERROR(Sal_Sls/NS*100,"B")</f>
        <v>B</v>
      </c>
    </row>
    <row r="850" spans="1:2">
      <c r="A850" s="158" t="s">
        <v>645</v>
      </c>
      <c r="B850" s="226" t="str">
        <f>IFERROR(PT_Sls/NS*100,"B")</f>
        <v>B</v>
      </c>
    </row>
    <row r="851" spans="1:2">
      <c r="A851" s="158" t="s">
        <v>646</v>
      </c>
      <c r="B851" s="226" t="str">
        <f>IFERROR(GRP_INS_Sls/NS*100,"B")</f>
        <v>B</v>
      </c>
    </row>
    <row r="852" spans="1:2">
      <c r="A852" s="4" t="s">
        <v>647</v>
      </c>
      <c r="B852" s="246" t="str">
        <f>IFERROR(BENE_Sls/NS*100,"B")</f>
        <v>B</v>
      </c>
    </row>
    <row r="853" spans="1:2">
      <c r="A853" s="424" t="s">
        <v>682</v>
      </c>
      <c r="B853" s="226" t="str">
        <f>IFERROR(PA_Sls/NS*100,"B")</f>
        <v>B</v>
      </c>
    </row>
    <row r="854" spans="1:2">
      <c r="A854" s="4" t="s">
        <v>544</v>
      </c>
      <c r="B854" s="226" t="str">
        <f>IFERROR(AD/NS*100,"B")</f>
        <v>B</v>
      </c>
    </row>
    <row r="855" spans="1:2">
      <c r="A855" s="4" t="s">
        <v>1</v>
      </c>
      <c r="B855" s="226" t="str">
        <f>IFERROR(Tele/NS*100,"B")</f>
        <v>B</v>
      </c>
    </row>
    <row r="856" spans="1:2">
      <c r="A856" s="4" t="s">
        <v>545</v>
      </c>
      <c r="B856" s="246" t="str">
        <f>IFERROR((OSELL+TRVL+VEH)/NS*100,"B")</f>
        <v>B</v>
      </c>
    </row>
    <row r="857" spans="1:2">
      <c r="A857" s="424" t="s">
        <v>546</v>
      </c>
      <c r="B857" s="291" t="str">
        <f>IFERROR(SLS_EXP/NS*100,"B")</f>
        <v>B</v>
      </c>
    </row>
    <row r="858" spans="1:2" ht="2.1" customHeight="1"/>
    <row r="859" spans="1:2">
      <c r="A859" s="408" t="s">
        <v>547</v>
      </c>
    </row>
    <row r="860" spans="1:2">
      <c r="A860" s="4" t="s">
        <v>683</v>
      </c>
      <c r="B860" s="226" t="str">
        <f>IFERROR((PA_WHS+PA_Recv+PA_Pick)/NS*100,"B")</f>
        <v>B</v>
      </c>
    </row>
    <row r="861" spans="1:2">
      <c r="A861" s="4" t="s">
        <v>551</v>
      </c>
      <c r="B861" s="246" t="str">
        <f>IFERROR(PA_Driver/NS*100,"B")</f>
        <v>B</v>
      </c>
    </row>
    <row r="862" spans="1:2">
      <c r="A862" s="424" t="s">
        <v>567</v>
      </c>
      <c r="B862" s="226" t="str">
        <f>IFERROR(Sal_Dist/NS*100,"B")</f>
        <v>B</v>
      </c>
    </row>
    <row r="863" spans="1:2">
      <c r="A863" s="158" t="s">
        <v>649</v>
      </c>
      <c r="B863" s="226" t="str">
        <f>IFERROR(PT_Dist/NS*100,"B")</f>
        <v>B</v>
      </c>
    </row>
    <row r="864" spans="1:2">
      <c r="A864" s="158" t="s">
        <v>650</v>
      </c>
      <c r="B864" s="226" t="str">
        <f>IFERROR(GRP_INS_Dist/NS*100,"B")</f>
        <v>B</v>
      </c>
    </row>
    <row r="865" spans="1:2">
      <c r="A865" s="4" t="s">
        <v>651</v>
      </c>
      <c r="B865" s="246" t="str">
        <f>IFERROR(BENE_Dist/NS*100,"B")</f>
        <v>B</v>
      </c>
    </row>
    <row r="866" spans="1:2">
      <c r="A866" s="424" t="s">
        <v>553</v>
      </c>
      <c r="B866" s="226" t="str">
        <f>IFERROR(PA_Dist/NS*100,"B")</f>
        <v>B</v>
      </c>
    </row>
    <row r="867" spans="1:2">
      <c r="A867" s="4" t="s">
        <v>652</v>
      </c>
      <c r="B867" s="226" t="str">
        <f>IFERROR(Veh_Del/NS*100,"B")</f>
        <v>B</v>
      </c>
    </row>
    <row r="868" spans="1:2">
      <c r="A868" s="158" t="s">
        <v>449</v>
      </c>
      <c r="B868" s="226" t="str">
        <f>IFERROR(UT/NS*100,"B")</f>
        <v>B</v>
      </c>
    </row>
    <row r="869" spans="1:2">
      <c r="A869" s="158" t="s">
        <v>554</v>
      </c>
      <c r="B869" s="226" t="str">
        <f>IFERROR(RM/NS*100,"B")</f>
        <v>B</v>
      </c>
    </row>
    <row r="870" spans="1:2">
      <c r="A870" s="158" t="s">
        <v>653</v>
      </c>
      <c r="B870" s="226" t="str">
        <f>IFERROR(Rent/NS*100,"B")</f>
        <v>B</v>
      </c>
    </row>
    <row r="871" spans="1:2">
      <c r="A871" s="4" t="s">
        <v>240</v>
      </c>
      <c r="B871" s="226" t="str">
        <f>IFERROR(DPR/NS*100,"B")</f>
        <v>B</v>
      </c>
    </row>
    <row r="872" spans="1:2">
      <c r="A872" s="4" t="s">
        <v>556</v>
      </c>
      <c r="B872" s="246" t="str">
        <f>IFERROR((ODIST+FO)/NS*100,"B")</f>
        <v>B</v>
      </c>
    </row>
    <row r="873" spans="1:2">
      <c r="A873" s="424" t="s">
        <v>557</v>
      </c>
      <c r="B873" s="291" t="str">
        <f>IFERROR(DIST_EXP/NS*100,"B")</f>
        <v>B</v>
      </c>
    </row>
    <row r="874" spans="1:2" ht="2.1" customHeight="1">
      <c r="A874" s="424"/>
      <c r="B874" s="291"/>
    </row>
    <row r="875" spans="1:2">
      <c r="A875" s="70" t="s">
        <v>558</v>
      </c>
      <c r="B875" s="291"/>
    </row>
    <row r="876" spans="1:2">
      <c r="A876" s="4" t="s">
        <v>559</v>
      </c>
      <c r="B876" s="226" t="str">
        <f>IFERROR(PA_AR/NS*100,"B")</f>
        <v>B</v>
      </c>
    </row>
    <row r="877" spans="1:2">
      <c r="A877" s="4" t="s">
        <v>560</v>
      </c>
      <c r="B877" s="226" t="str">
        <f>IFERROR(PA_AP/NS*100,"B")</f>
        <v>B</v>
      </c>
    </row>
    <row r="878" spans="1:2">
      <c r="A878" s="4" t="s">
        <v>561</v>
      </c>
      <c r="B878" s="226" t="str">
        <f>IFERROR(PA_IT/NS*100,"B")</f>
        <v>B</v>
      </c>
    </row>
    <row r="879" spans="1:2">
      <c r="A879" s="4" t="s">
        <v>562</v>
      </c>
      <c r="B879" s="226" t="str">
        <f>IFERROR(PA_CustSvc/NS*100,"B")</f>
        <v>B</v>
      </c>
    </row>
    <row r="880" spans="1:2">
      <c r="A880" s="4" t="s">
        <v>563</v>
      </c>
      <c r="B880" s="226" t="str">
        <f>IFERROR(PA_Tele/NS*100,"B")</f>
        <v>B</v>
      </c>
    </row>
    <row r="881" spans="1:2">
      <c r="A881" s="157" t="s">
        <v>564</v>
      </c>
      <c r="B881" s="226" t="str">
        <f>IFERROR(PA_Exec/NS*100,"B")</f>
        <v>B</v>
      </c>
    </row>
    <row r="882" spans="1:2">
      <c r="A882" s="4" t="s">
        <v>565</v>
      </c>
      <c r="B882" s="246" t="str">
        <f>IFERROR(PA_OTH/NS*100,"B")</f>
        <v>B</v>
      </c>
    </row>
    <row r="883" spans="1:2">
      <c r="A883" s="424" t="s">
        <v>568</v>
      </c>
      <c r="B883" s="226" t="str">
        <f>IFERROR(SAL_Admin/NS*100,"B")</f>
        <v>B</v>
      </c>
    </row>
    <row r="884" spans="1:2">
      <c r="A884" s="158" t="s">
        <v>569</v>
      </c>
      <c r="B884" s="226" t="str">
        <f>IFERROR(PT_Admin/NS*100,"B")</f>
        <v>B</v>
      </c>
    </row>
    <row r="885" spans="1:2">
      <c r="A885" s="158" t="s">
        <v>570</v>
      </c>
      <c r="B885" s="226" t="str">
        <f>IFERROR(GRP_INS_Admin/NS*100,"B")</f>
        <v>B</v>
      </c>
    </row>
    <row r="886" spans="1:2">
      <c r="A886" s="4" t="s">
        <v>571</v>
      </c>
      <c r="B886" s="246" t="str">
        <f>IFERROR(BENE_Admin/NS*100,"B")</f>
        <v>B</v>
      </c>
    </row>
    <row r="887" spans="1:2">
      <c r="A887" s="424" t="s">
        <v>566</v>
      </c>
      <c r="B887" s="226" t="str">
        <f>IFERROR(PA_Admin/NS*100,"B")</f>
        <v>B</v>
      </c>
    </row>
    <row r="888" spans="1:2">
      <c r="A888" s="4" t="s">
        <v>573</v>
      </c>
      <c r="B888" s="226" t="str">
        <f>IFERROR(MIS/NS*100,"B")</f>
        <v>B</v>
      </c>
    </row>
    <row r="889" spans="1:2">
      <c r="A889" s="4" t="s">
        <v>450</v>
      </c>
      <c r="B889" s="226" t="str">
        <f>IFERROR(Ins/NS*100,"B")</f>
        <v>B</v>
      </c>
    </row>
    <row r="890" spans="1:2">
      <c r="A890" s="4" t="s">
        <v>243</v>
      </c>
      <c r="B890" s="226" t="str">
        <f>IFERROR(BD/NS*100,"B")</f>
        <v>B</v>
      </c>
    </row>
    <row r="891" spans="1:2">
      <c r="A891" s="4" t="s">
        <v>574</v>
      </c>
      <c r="B891" s="246" t="str">
        <f>IFERROR((OE+ProfFees)/NS*100,"B")</f>
        <v>B</v>
      </c>
    </row>
    <row r="892" spans="1:2">
      <c r="A892" s="424" t="s">
        <v>575</v>
      </c>
      <c r="B892" s="291" t="str">
        <f>IFERROR(Admin_Exp/NS*100,"B")</f>
        <v>B</v>
      </c>
    </row>
    <row r="893" spans="1:2" ht="2.1" customHeight="1">
      <c r="A893" s="424"/>
      <c r="B893" s="291"/>
    </row>
    <row r="894" spans="1:2">
      <c r="A894" s="1" t="s">
        <v>164</v>
      </c>
      <c r="B894" s="291" t="str">
        <f>IFERROR(TE/NS*100,"B")</f>
        <v>B</v>
      </c>
    </row>
    <row r="895" spans="1:2">
      <c r="A895" s="1" t="s">
        <v>48</v>
      </c>
      <c r="B895" s="291" t="str">
        <f>IFERROR(OP_2/NS*100,"B")</f>
        <v>B</v>
      </c>
    </row>
    <row r="896" spans="1:2">
      <c r="A896" s="4" t="s">
        <v>44</v>
      </c>
      <c r="B896" s="226" t="str">
        <f>IFERROR(OI/NS*100,"B")</f>
        <v>B</v>
      </c>
    </row>
    <row r="897" spans="1:2">
      <c r="A897" s="4" t="s">
        <v>45</v>
      </c>
      <c r="B897" s="226" t="str">
        <f>IFERROR(Int/NS*100,"B")</f>
        <v>B</v>
      </c>
    </row>
    <row r="898" spans="1:2">
      <c r="A898" s="4" t="s">
        <v>684</v>
      </c>
      <c r="B898" s="226" t="str">
        <f>IFERROR(Oex/NS*100,"B")</f>
        <v>B</v>
      </c>
    </row>
    <row r="899" spans="1:2">
      <c r="A899" s="1" t="s">
        <v>411</v>
      </c>
      <c r="B899" s="244" t="str">
        <f>IFERROR(PBT_2/NS,"B")</f>
        <v>B</v>
      </c>
    </row>
    <row r="901" spans="1:2">
      <c r="A901" s="313" t="s">
        <v>686</v>
      </c>
      <c r="B901" s="313"/>
    </row>
    <row r="902" spans="1:2" ht="6" customHeight="1">
      <c r="A902" s="321"/>
      <c r="B902" s="317"/>
    </row>
    <row r="903" spans="1:2">
      <c r="A903" s="302" t="s">
        <v>163</v>
      </c>
      <c r="B903" s="318">
        <v>1</v>
      </c>
    </row>
    <row r="904" spans="1:2" ht="2.1" customHeight="1"/>
    <row r="905" spans="1:2">
      <c r="A905" s="408" t="s">
        <v>535</v>
      </c>
    </row>
    <row r="906" spans="1:2">
      <c r="A906" s="4" t="s">
        <v>681</v>
      </c>
      <c r="B906" s="226" t="str">
        <f>IFERROR(Sal_Sls/GP_2*100,"B")</f>
        <v>B</v>
      </c>
    </row>
    <row r="907" spans="1:2">
      <c r="A907" s="158" t="s">
        <v>645</v>
      </c>
      <c r="B907" s="226" t="str">
        <f>IFERROR(PT_Sls/GP_2*100,"B")</f>
        <v>B</v>
      </c>
    </row>
    <row r="908" spans="1:2">
      <c r="A908" s="158" t="s">
        <v>646</v>
      </c>
      <c r="B908" s="226" t="str">
        <f>IFERROR(GRP_INS_Sls/GP_2*100,"B")</f>
        <v>B</v>
      </c>
    </row>
    <row r="909" spans="1:2">
      <c r="A909" s="4" t="s">
        <v>647</v>
      </c>
      <c r="B909" s="246" t="str">
        <f>IFERROR(BENE_Sls/GP_2*100,"B")</f>
        <v>B</v>
      </c>
    </row>
    <row r="910" spans="1:2">
      <c r="A910" s="424" t="s">
        <v>682</v>
      </c>
      <c r="B910" s="226" t="str">
        <f>IFERROR(PA_Sls/GP_2*100,"B")</f>
        <v>B</v>
      </c>
    </row>
    <row r="911" spans="1:2">
      <c r="A911" s="4" t="s">
        <v>544</v>
      </c>
      <c r="B911" s="226" t="str">
        <f>IFERROR(AD/GP_2*100,"B")</f>
        <v>B</v>
      </c>
    </row>
    <row r="912" spans="1:2">
      <c r="A912" s="4" t="s">
        <v>1</v>
      </c>
      <c r="B912" s="226" t="str">
        <f>IFERROR(Tele/GP_2*100,"B")</f>
        <v>B</v>
      </c>
    </row>
    <row r="913" spans="1:2">
      <c r="A913" s="4" t="s">
        <v>545</v>
      </c>
      <c r="B913" s="246" t="str">
        <f>IFERROR((OSELL+TRVL+VEH)/GP_2*100,"B")</f>
        <v>B</v>
      </c>
    </row>
    <row r="914" spans="1:2">
      <c r="A914" s="424" t="s">
        <v>546</v>
      </c>
      <c r="B914" s="291" t="str">
        <f>IFERROR(SLS_EXP/GP_2*100,"B")</f>
        <v>B</v>
      </c>
    </row>
    <row r="915" spans="1:2" ht="2.1" customHeight="1"/>
    <row r="916" spans="1:2">
      <c r="A916" s="408" t="s">
        <v>547</v>
      </c>
    </row>
    <row r="917" spans="1:2">
      <c r="A917" s="4" t="s">
        <v>683</v>
      </c>
      <c r="B917" s="226" t="str">
        <f>IFERROR((PA_WHS+PA_Recv+PA_Pick)/GP_2*100,"B")</f>
        <v>B</v>
      </c>
    </row>
    <row r="918" spans="1:2">
      <c r="A918" s="4" t="s">
        <v>551</v>
      </c>
      <c r="B918" s="246" t="str">
        <f>IFERROR(PA_Driver/GP_2*100,"B")</f>
        <v>B</v>
      </c>
    </row>
    <row r="919" spans="1:2">
      <c r="A919" s="424" t="s">
        <v>567</v>
      </c>
      <c r="B919" s="226" t="str">
        <f>IFERROR(Sal_Dist/GP_2*100,"B")</f>
        <v>B</v>
      </c>
    </row>
    <row r="920" spans="1:2">
      <c r="A920" s="158" t="s">
        <v>649</v>
      </c>
      <c r="B920" s="226" t="str">
        <f>IFERROR(PT_Dist/GP_2*100,"B")</f>
        <v>B</v>
      </c>
    </row>
    <row r="921" spans="1:2">
      <c r="A921" s="158" t="s">
        <v>650</v>
      </c>
      <c r="B921" s="226" t="str">
        <f>IFERROR(GRP_INS_Dist/GP_2*100,"B")</f>
        <v>B</v>
      </c>
    </row>
    <row r="922" spans="1:2">
      <c r="A922" s="4" t="s">
        <v>651</v>
      </c>
      <c r="B922" s="246" t="str">
        <f>IFERROR(BENE_Dist/GP_2*100,"B")</f>
        <v>B</v>
      </c>
    </row>
    <row r="923" spans="1:2">
      <c r="A923" s="424" t="s">
        <v>553</v>
      </c>
      <c r="B923" s="226" t="str">
        <f>IFERROR(PA_Dist/GP_2*100,"B")</f>
        <v>B</v>
      </c>
    </row>
    <row r="924" spans="1:2">
      <c r="A924" s="4" t="s">
        <v>652</v>
      </c>
      <c r="B924" s="226" t="str">
        <f>IFERROR(Veh_Del/GP_2*100,"B")</f>
        <v>B</v>
      </c>
    </row>
    <row r="925" spans="1:2">
      <c r="A925" s="158" t="s">
        <v>449</v>
      </c>
      <c r="B925" s="226" t="str">
        <f>IFERROR(UT/GP_2*100,"B")</f>
        <v>B</v>
      </c>
    </row>
    <row r="926" spans="1:2">
      <c r="A926" s="158" t="s">
        <v>554</v>
      </c>
      <c r="B926" s="226" t="str">
        <f>IFERROR(RM/GP_2*100,"B")</f>
        <v>B</v>
      </c>
    </row>
    <row r="927" spans="1:2">
      <c r="A927" s="158" t="s">
        <v>653</v>
      </c>
      <c r="B927" s="226" t="str">
        <f>IFERROR(Rent/GP_2*100,"B")</f>
        <v>B</v>
      </c>
    </row>
    <row r="928" spans="1:2">
      <c r="A928" s="4" t="s">
        <v>240</v>
      </c>
      <c r="B928" s="226" t="str">
        <f>IFERROR(DPR/GP_2*100,"B")</f>
        <v>B</v>
      </c>
    </row>
    <row r="929" spans="1:2">
      <c r="A929" s="4" t="s">
        <v>556</v>
      </c>
      <c r="B929" s="246" t="str">
        <f>IFERROR((ODIST+FO)/GP_2*100,"B")</f>
        <v>B</v>
      </c>
    </row>
    <row r="930" spans="1:2">
      <c r="A930" s="424" t="s">
        <v>557</v>
      </c>
      <c r="B930" s="291" t="str">
        <f>IFERROR(DIST_EXP/GP_2*100,"B")</f>
        <v>B</v>
      </c>
    </row>
    <row r="931" spans="1:2" ht="2.1" customHeight="1">
      <c r="A931" s="424"/>
      <c r="B931" s="291"/>
    </row>
    <row r="932" spans="1:2">
      <c r="A932" s="70" t="s">
        <v>558</v>
      </c>
      <c r="B932" s="291"/>
    </row>
    <row r="933" spans="1:2">
      <c r="A933" s="4" t="s">
        <v>559</v>
      </c>
      <c r="B933" s="226" t="str">
        <f>IFERROR(PA_AR/GP_2*100,"B")</f>
        <v>B</v>
      </c>
    </row>
    <row r="934" spans="1:2">
      <c r="A934" s="4" t="s">
        <v>560</v>
      </c>
      <c r="B934" s="226" t="str">
        <f>IFERROR(PA_AP/GP_2*100,"B")</f>
        <v>B</v>
      </c>
    </row>
    <row r="935" spans="1:2">
      <c r="A935" s="4" t="s">
        <v>561</v>
      </c>
      <c r="B935" s="226" t="str">
        <f>IFERROR(PA_IT/GP_2*100,"B")</f>
        <v>B</v>
      </c>
    </row>
    <row r="936" spans="1:2">
      <c r="A936" s="4" t="s">
        <v>562</v>
      </c>
      <c r="B936" s="226" t="str">
        <f>IFERROR(PA_CustSvc/GP_2*100,"B")</f>
        <v>B</v>
      </c>
    </row>
    <row r="937" spans="1:2">
      <c r="A937" s="4" t="s">
        <v>563</v>
      </c>
      <c r="B937" s="226" t="str">
        <f>IFERROR(PA_Tele/GP_2*100,"B")</f>
        <v>B</v>
      </c>
    </row>
    <row r="938" spans="1:2">
      <c r="A938" s="157" t="s">
        <v>564</v>
      </c>
      <c r="B938" s="226" t="str">
        <f>IFERROR(PA_Exec/GP_2*100,"B")</f>
        <v>B</v>
      </c>
    </row>
    <row r="939" spans="1:2">
      <c r="A939" s="4" t="s">
        <v>565</v>
      </c>
      <c r="B939" s="246" t="str">
        <f>IFERROR(PA_OTH/GP_2*100,"B")</f>
        <v>B</v>
      </c>
    </row>
    <row r="940" spans="1:2">
      <c r="A940" s="424" t="s">
        <v>568</v>
      </c>
      <c r="B940" s="226" t="str">
        <f>IFERROR(SAL_Admin/GP_2*100,"B")</f>
        <v>B</v>
      </c>
    </row>
    <row r="941" spans="1:2">
      <c r="A941" s="158" t="s">
        <v>569</v>
      </c>
      <c r="B941" s="226" t="str">
        <f>IFERROR(PT_Admin/GP_2*100,"B")</f>
        <v>B</v>
      </c>
    </row>
    <row r="942" spans="1:2">
      <c r="A942" s="158" t="s">
        <v>570</v>
      </c>
      <c r="B942" s="226" t="str">
        <f>IFERROR(GRP_INS_Admin/GP_2*100,"B")</f>
        <v>B</v>
      </c>
    </row>
    <row r="943" spans="1:2">
      <c r="A943" s="4" t="s">
        <v>571</v>
      </c>
      <c r="B943" s="246" t="str">
        <f>IFERROR(BENE_Admin/GP_2*100,"B")</f>
        <v>B</v>
      </c>
    </row>
    <row r="944" spans="1:2">
      <c r="A944" s="424" t="s">
        <v>566</v>
      </c>
      <c r="B944" s="226" t="str">
        <f>IFERROR(PA_Admin/GP_2*100,"B")</f>
        <v>B</v>
      </c>
    </row>
    <row r="945" spans="1:2">
      <c r="A945" s="4" t="s">
        <v>573</v>
      </c>
      <c r="B945" s="226" t="str">
        <f>IFERROR(MIS/GP_2*100,"B")</f>
        <v>B</v>
      </c>
    </row>
    <row r="946" spans="1:2">
      <c r="A946" s="4" t="s">
        <v>450</v>
      </c>
      <c r="B946" s="226" t="str">
        <f>IFERROR(Ins/GP_2*100,"B")</f>
        <v>B</v>
      </c>
    </row>
    <row r="947" spans="1:2">
      <c r="A947" s="4" t="s">
        <v>243</v>
      </c>
      <c r="B947" s="226" t="str">
        <f>IFERROR(BD/GP_2*100,"B")</f>
        <v>B</v>
      </c>
    </row>
    <row r="948" spans="1:2">
      <c r="A948" s="4" t="s">
        <v>574</v>
      </c>
      <c r="B948" s="246" t="str">
        <f>IFERROR((OE+ProfFees)/GP_2*100,"B")</f>
        <v>B</v>
      </c>
    </row>
    <row r="949" spans="1:2">
      <c r="A949" s="424" t="s">
        <v>575</v>
      </c>
      <c r="B949" s="291" t="str">
        <f>IFERROR(Admin_Exp/GP_2*100,"B")</f>
        <v>B</v>
      </c>
    </row>
    <row r="950" spans="1:2" ht="2.1" customHeight="1">
      <c r="A950" s="424"/>
      <c r="B950" s="291"/>
    </row>
    <row r="951" spans="1:2">
      <c r="A951" s="1" t="s">
        <v>164</v>
      </c>
      <c r="B951" s="291" t="str">
        <f>IFERROR(TE/GP_2*100,"B")</f>
        <v>B</v>
      </c>
    </row>
    <row r="952" spans="1:2">
      <c r="A952" s="1" t="s">
        <v>48</v>
      </c>
      <c r="B952" s="291" t="str">
        <f>IFERROR(OP_2/GP_2*100,"B")</f>
        <v>B</v>
      </c>
    </row>
    <row r="953" spans="1:2">
      <c r="A953" s="4" t="s">
        <v>44</v>
      </c>
      <c r="B953" s="226" t="str">
        <f>IFERROR(OI/GP_2*100,"B")</f>
        <v>B</v>
      </c>
    </row>
    <row r="954" spans="1:2">
      <c r="A954" s="4" t="s">
        <v>45</v>
      </c>
      <c r="B954" s="226" t="str">
        <f>IFERROR(Int/GP_2*100,"B")</f>
        <v>B</v>
      </c>
    </row>
    <row r="955" spans="1:2">
      <c r="A955" s="4" t="s">
        <v>684</v>
      </c>
      <c r="B955" s="226" t="str">
        <f>IFERROR(Oex/GP_2*100,"B")</f>
        <v>B</v>
      </c>
    </row>
    <row r="956" spans="1:2">
      <c r="A956" s="1" t="s">
        <v>411</v>
      </c>
      <c r="B956" s="244" t="str">
        <f>IFERROR(PBT_2/GP_2,"B")</f>
        <v>B</v>
      </c>
    </row>
  </sheetData>
  <phoneticPr fontId="0" type="noConversion"/>
  <pageMargins left="0.5" right="0.5" top="0.25" bottom="0.25" header="0.25" footer="0.2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639EE4C0379B4BB67EFD2705D7309F" ma:contentTypeVersion="16" ma:contentTypeDescription="Create a new document." ma:contentTypeScope="" ma:versionID="9c79fd3745c8dae9eea74c1e8682a799">
  <xsd:schema xmlns:xsd="http://www.w3.org/2001/XMLSchema" xmlns:xs="http://www.w3.org/2001/XMLSchema" xmlns:p="http://schemas.microsoft.com/office/2006/metadata/properties" xmlns:ns2="15c67195-fda4-49e3-b825-ac4b23f1d7f5" xmlns:ns3="3f6af923-b3f2-4431-8655-9ad315948ca6" targetNamespace="http://schemas.microsoft.com/office/2006/metadata/properties" ma:root="true" ma:fieldsID="775a742d82210d944c4a306ac3d5c68d" ns2:_="" ns3:_="">
    <xsd:import namespace="15c67195-fda4-49e3-b825-ac4b23f1d7f5"/>
    <xsd:import namespace="3f6af923-b3f2-4431-8655-9ad315948ca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c67195-fda4-49e3-b825-ac4b23f1d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7913811-a971-44c3-bc8d-a21577266db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f6af923-b3f2-4431-8655-9ad315948ca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e8113c53-2067-409b-b46e-ef974137e220}" ma:internalName="TaxCatchAll" ma:showField="CatchAllData" ma:web="3f6af923-b3f2-4431-8655-9ad315948c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196005-5874-448D-8111-8DD9E3F9086E}"/>
</file>

<file path=customXml/itemProps2.xml><?xml version="1.0" encoding="utf-8"?>
<ds:datastoreItem xmlns:ds="http://schemas.openxmlformats.org/officeDocument/2006/customXml" ds:itemID="{EDE40C8A-1F5C-419A-AD4E-C8ED23E4047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259</vt:i4>
      </vt:variant>
    </vt:vector>
  </HeadingPairs>
  <TitlesOfParts>
    <vt:vector size="266" baseType="lpstr">
      <vt:lpstr>Overview</vt:lpstr>
      <vt:lpstr>Confidentiality</vt:lpstr>
      <vt:lpstr>Operations</vt:lpstr>
      <vt:lpstr>Balance Sheet</vt:lpstr>
      <vt:lpstr>Income Statement</vt:lpstr>
      <vt:lpstr>Print</vt:lpstr>
      <vt:lpstr>Data</vt:lpstr>
      <vt:lpstr>_NET2</vt:lpstr>
      <vt:lpstr>AAP</vt:lpstr>
      <vt:lpstr>AAR</vt:lpstr>
      <vt:lpstr>AD</vt:lpstr>
      <vt:lpstr>Add</vt:lpstr>
      <vt:lpstr>Addr1</vt:lpstr>
      <vt:lpstr>Addr2</vt:lpstr>
      <vt:lpstr>Admin_Exp</vt:lpstr>
      <vt:lpstr>AgeUsed</vt:lpstr>
      <vt:lpstr>AP</vt:lpstr>
      <vt:lpstr>APDAYS</vt:lpstr>
      <vt:lpstr>AR</vt:lpstr>
      <vt:lpstr>ARDAYS</vt:lpstr>
      <vt:lpstr>ATA</vt:lpstr>
      <vt:lpstr>AVG</vt:lpstr>
      <vt:lpstr>AVG_2</vt:lpstr>
      <vt:lpstr>BD</vt:lpstr>
      <vt:lpstr>BENE</vt:lpstr>
      <vt:lpstr>BENE_Admin</vt:lpstr>
      <vt:lpstr>BENE_Dist</vt:lpstr>
      <vt:lpstr>BENE_Pct</vt:lpstr>
      <vt:lpstr>BENE_Sls</vt:lpstr>
      <vt:lpstr>Burden_Pct</vt:lpstr>
      <vt:lpstr>BuyGrp</vt:lpstr>
      <vt:lpstr>CA</vt:lpstr>
      <vt:lpstr>CA_2</vt:lpstr>
      <vt:lpstr>Cash</vt:lpstr>
      <vt:lpstr>City</vt:lpstr>
      <vt:lpstr>CL</vt:lpstr>
      <vt:lpstr>COGS</vt:lpstr>
      <vt:lpstr>COGS_2</vt:lpstr>
      <vt:lpstr>Controls</vt:lpstr>
      <vt:lpstr>CSH</vt:lpstr>
      <vt:lpstr>CUST</vt:lpstr>
      <vt:lpstr>Custdp</vt:lpstr>
      <vt:lpstr>DIST_EXP</vt:lpstr>
      <vt:lpstr>DPR</vt:lpstr>
      <vt:lpstr>DROP</vt:lpstr>
      <vt:lpstr>eaddr</vt:lpstr>
      <vt:lpstr>ElecInv</vt:lpstr>
      <vt:lpstr>Emp</vt:lpstr>
      <vt:lpstr>EMP_Acctg</vt:lpstr>
      <vt:lpstr>EMP_Cust</vt:lpstr>
      <vt:lpstr>EMP_Driver</vt:lpstr>
      <vt:lpstr>EMP_Exec</vt:lpstr>
      <vt:lpstr>EMP_HR</vt:lpstr>
      <vt:lpstr>EMP_Inside</vt:lpstr>
      <vt:lpstr>EMP_IT</vt:lpstr>
      <vt:lpstr>EMP_Mdse</vt:lpstr>
      <vt:lpstr>EMP_Mktg</vt:lpstr>
      <vt:lpstr>EMP_Out</vt:lpstr>
      <vt:lpstr>EMP_Pur</vt:lpstr>
      <vt:lpstr>EMP_SlsMgr</vt:lpstr>
      <vt:lpstr>EMP_SVC</vt:lpstr>
      <vt:lpstr>EMP_WHS</vt:lpstr>
      <vt:lpstr>End</vt:lpstr>
      <vt:lpstr>End_Prev</vt:lpstr>
      <vt:lpstr>Eqty</vt:lpstr>
      <vt:lpstr>ExciseTax</vt:lpstr>
      <vt:lpstr>FairTrade</vt:lpstr>
      <vt:lpstr>Fax</vt:lpstr>
      <vt:lpstr>Fiscal</vt:lpstr>
      <vt:lpstr>Fixed</vt:lpstr>
      <vt:lpstr>FO</vt:lpstr>
      <vt:lpstr>GP</vt:lpstr>
      <vt:lpstr>GP_2</vt:lpstr>
      <vt:lpstr>GP_New</vt:lpstr>
      <vt:lpstr>GP_Used</vt:lpstr>
      <vt:lpstr>GRP_INS</vt:lpstr>
      <vt:lpstr>GRP_INS_Admin</vt:lpstr>
      <vt:lpstr>GRP_INS_Dist</vt:lpstr>
      <vt:lpstr>GRP_INS_Sls</vt:lpstr>
      <vt:lpstr>Heating</vt:lpstr>
      <vt:lpstr>HVAC_lt</vt:lpstr>
      <vt:lpstr>HVAC_Uni</vt:lpstr>
      <vt:lpstr>ID</vt:lpstr>
      <vt:lpstr>Ins</vt:lpstr>
      <vt:lpstr>Int</vt:lpstr>
      <vt:lpstr>IntParts</vt:lpstr>
      <vt:lpstr>IntSvc</vt:lpstr>
      <vt:lpstr>Inv</vt:lpstr>
      <vt:lpstr>INV_2</vt:lpstr>
      <vt:lpstr>INVDAYS</vt:lpstr>
      <vt:lpstr>Liab</vt:lpstr>
      <vt:lpstr>LIFO</vt:lpstr>
      <vt:lpstr>Lines</vt:lpstr>
      <vt:lpstr>Loan</vt:lpstr>
      <vt:lpstr>LOC</vt:lpstr>
      <vt:lpstr>Loc_Retail</vt:lpstr>
      <vt:lpstr>LTL</vt:lpstr>
      <vt:lpstr>Market</vt:lpstr>
      <vt:lpstr>MIS</vt:lpstr>
      <vt:lpstr>Name</vt:lpstr>
      <vt:lpstr>Net</vt:lpstr>
      <vt:lpstr>NEWINV</vt:lpstr>
      <vt:lpstr>NonFair</vt:lpstr>
      <vt:lpstr>NP</vt:lpstr>
      <vt:lpstr>NS</vt:lpstr>
      <vt:lpstr>NS_Auto</vt:lpstr>
      <vt:lpstr>NS_Beverage</vt:lpstr>
      <vt:lpstr>NS_Candy</vt:lpstr>
      <vt:lpstr>NS_Cigarettes</vt:lpstr>
      <vt:lpstr>NS_Dairy</vt:lpstr>
      <vt:lpstr>NS_Food</vt:lpstr>
      <vt:lpstr>NS_Frozen</vt:lpstr>
      <vt:lpstr>NS_GenlMdse</vt:lpstr>
      <vt:lpstr>NS_Grocery</vt:lpstr>
      <vt:lpstr>NS_HBC</vt:lpstr>
      <vt:lpstr>NS_Online</vt:lpstr>
      <vt:lpstr>NS_OPROD</vt:lpstr>
      <vt:lpstr>NS_Paper</vt:lpstr>
      <vt:lpstr>NS_Retail</vt:lpstr>
      <vt:lpstr>NS_Tobacco</vt:lpstr>
      <vt:lpstr>NS_Tot</vt:lpstr>
      <vt:lpstr>NW</vt:lpstr>
      <vt:lpstr>NW_2</vt:lpstr>
      <vt:lpstr>OC</vt:lpstr>
      <vt:lpstr>OC_GA</vt:lpstr>
      <vt:lpstr>OC_Parts</vt:lpstr>
      <vt:lpstr>OC_Rental</vt:lpstr>
      <vt:lpstr>OC_SVC</vt:lpstr>
      <vt:lpstr>Oca</vt:lpstr>
      <vt:lpstr>Ocl</vt:lpstr>
      <vt:lpstr>ODIST</vt:lpstr>
      <vt:lpstr>OE</vt:lpstr>
      <vt:lpstr>OE_GA</vt:lpstr>
      <vt:lpstr>OE_Parts</vt:lpstr>
      <vt:lpstr>OE_Rental</vt:lpstr>
      <vt:lpstr>OE_SVC</vt:lpstr>
      <vt:lpstr>Oemp</vt:lpstr>
      <vt:lpstr>Oex</vt:lpstr>
      <vt:lpstr>OFA</vt:lpstr>
      <vt:lpstr>OI</vt:lpstr>
      <vt:lpstr>OINV</vt:lpstr>
      <vt:lpstr>ONS</vt:lpstr>
      <vt:lpstr>OP</vt:lpstr>
      <vt:lpstr>OP_2</vt:lpstr>
      <vt:lpstr>OPROD</vt:lpstr>
      <vt:lpstr>Orders</vt:lpstr>
      <vt:lpstr>Org</vt:lpstr>
      <vt:lpstr>OSELL</vt:lpstr>
      <vt:lpstr>PA</vt:lpstr>
      <vt:lpstr>PA_Admin</vt:lpstr>
      <vt:lpstr>PA_AP</vt:lpstr>
      <vt:lpstr>PA_AR</vt:lpstr>
      <vt:lpstr>PA_CustSvc</vt:lpstr>
      <vt:lpstr>PA_Dist</vt:lpstr>
      <vt:lpstr>PA_Driver</vt:lpstr>
      <vt:lpstr>PA_Exec</vt:lpstr>
      <vt:lpstr>PA_Inside</vt:lpstr>
      <vt:lpstr>PA_IT</vt:lpstr>
      <vt:lpstr>PA_Mdse</vt:lpstr>
      <vt:lpstr>PA_OTH</vt:lpstr>
      <vt:lpstr>PA_Out</vt:lpstr>
      <vt:lpstr>PA_Pick</vt:lpstr>
      <vt:lpstr>PA_Pur</vt:lpstr>
      <vt:lpstr>PA_Recv</vt:lpstr>
      <vt:lpstr>PA_Rental</vt:lpstr>
      <vt:lpstr>PA_Sls</vt:lpstr>
      <vt:lpstr>PA_SlsMgr</vt:lpstr>
      <vt:lpstr>PA_Tele</vt:lpstr>
      <vt:lpstr>PA_WHS</vt:lpstr>
      <vt:lpstr>PARTSINV</vt:lpstr>
      <vt:lpstr>PB_Bonus</vt:lpstr>
      <vt:lpstr>PB_Bonus_2</vt:lpstr>
      <vt:lpstr>PBT</vt:lpstr>
      <vt:lpstr>PBT_2</vt:lpstr>
      <vt:lpstr>PDF</vt:lpstr>
      <vt:lpstr>Person</vt:lpstr>
      <vt:lpstr>Phone</vt:lpstr>
      <vt:lpstr>Plumbing</vt:lpstr>
      <vt:lpstr>Prev</vt:lpstr>
      <vt:lpstr>'Balance Sheet'!Print_Area</vt:lpstr>
      <vt:lpstr>Confidentiality!Print_Area</vt:lpstr>
      <vt:lpstr>Data!Print_Area</vt:lpstr>
      <vt:lpstr>'Income Statement'!Print_Area</vt:lpstr>
      <vt:lpstr>Operations!Print_Area</vt:lpstr>
      <vt:lpstr>Overview!Print_Area</vt:lpstr>
      <vt:lpstr>Print!Print_Area</vt:lpstr>
      <vt:lpstr>ProfFees</vt:lpstr>
      <vt:lpstr>PT</vt:lpstr>
      <vt:lpstr>PT_Admin</vt:lpstr>
      <vt:lpstr>PT_Dist</vt:lpstr>
      <vt:lpstr>PT_Sls</vt:lpstr>
      <vt:lpstr>Ref_Acc</vt:lpstr>
      <vt:lpstr>Ref_Eq</vt:lpstr>
      <vt:lpstr>Rent</vt:lpstr>
      <vt:lpstr>Retail</vt:lpstr>
      <vt:lpstr>RM</vt:lpstr>
      <vt:lpstr>SAL</vt:lpstr>
      <vt:lpstr>SAL_Admin</vt:lpstr>
      <vt:lpstr>Sal_Dist</vt:lpstr>
      <vt:lpstr>Sal_Sls</vt:lpstr>
      <vt:lpstr>SAL_TOT</vt:lpstr>
      <vt:lpstr>SheetMetal</vt:lpstr>
      <vt:lpstr>Shipments</vt:lpstr>
      <vt:lpstr>SKU</vt:lpstr>
      <vt:lpstr>SKU_Auto</vt:lpstr>
      <vt:lpstr>SKU_Beverage</vt:lpstr>
      <vt:lpstr>SKU_Candy</vt:lpstr>
      <vt:lpstr>SKU_Cigarettes</vt:lpstr>
      <vt:lpstr>SKU_Dairy</vt:lpstr>
      <vt:lpstr>SKU_Food</vt:lpstr>
      <vt:lpstr>SKU_Frozen</vt:lpstr>
      <vt:lpstr>SKU_GenlMdse</vt:lpstr>
      <vt:lpstr>SKU_Grocery</vt:lpstr>
      <vt:lpstr>SKU_HBC</vt:lpstr>
      <vt:lpstr>SKU_OPROD</vt:lpstr>
      <vt:lpstr>SKU_Paper</vt:lpstr>
      <vt:lpstr>SKU_Tobacco</vt:lpstr>
      <vt:lpstr>SLS_EXP</vt:lpstr>
      <vt:lpstr>SPEC</vt:lpstr>
      <vt:lpstr>SPEC_GM</vt:lpstr>
      <vt:lpstr>SqFt</vt:lpstr>
      <vt:lpstr>SqFt_Cold</vt:lpstr>
      <vt:lpstr>State</vt:lpstr>
      <vt:lpstr>STunits</vt:lpstr>
      <vt:lpstr>STutil</vt:lpstr>
      <vt:lpstr>STvalue</vt:lpstr>
      <vt:lpstr>SvcCalls</vt:lpstr>
      <vt:lpstr>SvcJobs</vt:lpstr>
      <vt:lpstr>SvcRecover</vt:lpstr>
      <vt:lpstr>SvcVeh_</vt:lpstr>
      <vt:lpstr>TA</vt:lpstr>
      <vt:lpstr>TA_2</vt:lpstr>
      <vt:lpstr>Tax</vt:lpstr>
      <vt:lpstr>TaxStamped</vt:lpstr>
      <vt:lpstr>TE</vt:lpstr>
      <vt:lpstr>TechApplied</vt:lpstr>
      <vt:lpstr>TechBilled</vt:lpstr>
      <vt:lpstr>TechPaid</vt:lpstr>
      <vt:lpstr>Tele</vt:lpstr>
      <vt:lpstr>Title</vt:lpstr>
      <vt:lpstr>TRVL</vt:lpstr>
      <vt:lpstr>Turn_ALL</vt:lpstr>
      <vt:lpstr>Turn_Auto</vt:lpstr>
      <vt:lpstr>Turn_Beverage</vt:lpstr>
      <vt:lpstr>Turn_Candy</vt:lpstr>
      <vt:lpstr>Turn_Cigarettes</vt:lpstr>
      <vt:lpstr>Turn_Dairy</vt:lpstr>
      <vt:lpstr>Turn_Food</vt:lpstr>
      <vt:lpstr>Turn_Frozen</vt:lpstr>
      <vt:lpstr>Turn_GenlMdse</vt:lpstr>
      <vt:lpstr>Turn_Grocery</vt:lpstr>
      <vt:lpstr>Turn_HBC</vt:lpstr>
      <vt:lpstr>Turn_OPROD</vt:lpstr>
      <vt:lpstr>Turn_Paper</vt:lpstr>
      <vt:lpstr>Turn_Tabacco</vt:lpstr>
      <vt:lpstr>USEDINV</vt:lpstr>
      <vt:lpstr>UT</vt:lpstr>
      <vt:lpstr>VEH</vt:lpstr>
      <vt:lpstr>Veh_Del</vt:lpstr>
      <vt:lpstr>WHS</vt:lpstr>
      <vt:lpstr>WHS_GM</vt:lpstr>
      <vt:lpstr>WHSCOGS</vt:lpstr>
      <vt:lpstr>WHSGP</vt:lpstr>
      <vt:lpstr>WHSNS</vt:lpstr>
      <vt:lpstr>Yr</vt:lpstr>
      <vt:lpstr>Zipcode</vt:lpstr>
    </vt:vector>
  </TitlesOfParts>
  <Company>Bates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Mackay</dc:creator>
  <cp:lastModifiedBy>Taylor Mackay</cp:lastModifiedBy>
  <cp:lastPrinted>2020-01-18T16:29:05Z</cp:lastPrinted>
  <dcterms:created xsi:type="dcterms:W3CDTF">2000-09-29T21:49:52Z</dcterms:created>
  <dcterms:modified xsi:type="dcterms:W3CDTF">2023-02-09T19:40:32Z</dcterms:modified>
</cp:coreProperties>
</file>